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83"/>
  </bookViews>
  <sheets>
    <sheet name="NL1" sheetId="1" r:id="rId1"/>
    <sheet name="NL2" sheetId="2" r:id="rId2"/>
    <sheet name="NL3" sheetId="3" r:id="rId3"/>
    <sheet name="NL4" sheetId="4" r:id="rId4"/>
    <sheet name="NL5" sheetId="5" r:id="rId5"/>
    <sheet name="NL6" sheetId="6" r:id="rId6"/>
    <sheet name="NL7" sheetId="7" r:id="rId7"/>
    <sheet name="NL10" sheetId="10" r:id="rId8"/>
    <sheet name="NL12" sheetId="12" r:id="rId9"/>
    <sheet name="NL13" sheetId="13" r:id="rId10"/>
    <sheet name="NL14" sheetId="14" r:id="rId11"/>
    <sheet name="NL15" sheetId="15" r:id="rId12"/>
    <sheet name="NL16" sheetId="16" r:id="rId13"/>
    <sheet name="NL17" sheetId="17" r:id="rId14"/>
    <sheet name="NL23" sheetId="27" r:id="rId15"/>
    <sheet name="NL25" sheetId="26" r:id="rId16"/>
    <sheet name="NL30" sheetId="23" r:id="rId17"/>
    <sheet name="NL33" sheetId="25" r:id="rId18"/>
    <sheet name="NL40" sheetId="24" r:id="rId19"/>
  </sheets>
  <calcPr calcId="152511"/>
</workbook>
</file>

<file path=xl/calcChain.xml><?xml version="1.0" encoding="utf-8"?>
<calcChain xmlns="http://schemas.openxmlformats.org/spreadsheetml/2006/main">
  <c r="BK14" i="26" l="1"/>
  <c r="BK13" i="26"/>
  <c r="BK12" i="26"/>
  <c r="BK11" i="26"/>
  <c r="BK10" i="26"/>
  <c r="BK8" i="26"/>
  <c r="BK7" i="26"/>
  <c r="BK6" i="26"/>
  <c r="BK5" i="26"/>
  <c r="AI16" i="17" l="1"/>
  <c r="AI14" i="17"/>
  <c r="AI13" i="17"/>
  <c r="AI12" i="17"/>
  <c r="AI11" i="17"/>
  <c r="AI10" i="17"/>
  <c r="AI9" i="17"/>
  <c r="AI8" i="17"/>
  <c r="AI7" i="17"/>
  <c r="AI6" i="17"/>
  <c r="AI5" i="17"/>
  <c r="AI4" i="17"/>
  <c r="V15" i="17"/>
  <c r="N19" i="1"/>
  <c r="N18" i="1"/>
  <c r="N12" i="1"/>
  <c r="N11" i="1"/>
  <c r="N10" i="1"/>
  <c r="N9" i="1"/>
  <c r="N8" i="1"/>
  <c r="N7" i="1"/>
  <c r="N6" i="1"/>
  <c r="N5" i="1"/>
  <c r="AI50" i="16"/>
  <c r="AI49" i="16"/>
  <c r="AI48" i="16"/>
  <c r="AI47" i="16"/>
  <c r="AI46" i="16"/>
  <c r="AI44" i="16"/>
  <c r="AI43" i="16"/>
  <c r="AI41" i="16"/>
  <c r="AI40" i="16"/>
  <c r="AI39" i="16"/>
  <c r="AI37" i="16"/>
  <c r="AI36" i="16"/>
  <c r="AI35" i="16"/>
  <c r="AI34" i="16"/>
  <c r="AI33" i="16"/>
  <c r="AI32" i="16"/>
  <c r="AI31" i="16"/>
  <c r="AI29" i="16"/>
  <c r="AI28" i="16"/>
  <c r="AI27" i="16"/>
  <c r="AI25" i="16"/>
  <c r="AI22" i="16"/>
  <c r="AI21" i="16"/>
  <c r="AI20" i="16"/>
  <c r="AI18" i="16"/>
  <c r="AI17" i="16"/>
  <c r="AI16" i="16"/>
  <c r="AI15" i="16"/>
  <c r="AI14" i="16"/>
  <c r="AI13" i="16"/>
  <c r="AI11" i="16"/>
  <c r="AI10" i="16"/>
  <c r="AI8" i="16"/>
  <c r="AI7" i="16"/>
  <c r="AI6" i="16"/>
  <c r="AI5" i="16"/>
  <c r="V30" i="16"/>
  <c r="AI19" i="14"/>
  <c r="AI18" i="14"/>
  <c r="AI17" i="14"/>
  <c r="AI16" i="14"/>
  <c r="AI15" i="14"/>
  <c r="AI14" i="14"/>
  <c r="AI13" i="14"/>
  <c r="AI12" i="14"/>
  <c r="AI10" i="14"/>
  <c r="AI9" i="14"/>
  <c r="AI8" i="14"/>
  <c r="AI7" i="14"/>
  <c r="AI6" i="14"/>
  <c r="AI4" i="14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4" i="15"/>
  <c r="AI32" i="13"/>
  <c r="AI31" i="13"/>
  <c r="AI30" i="13"/>
  <c r="AI28" i="13"/>
  <c r="AI27" i="13"/>
  <c r="AI26" i="13"/>
  <c r="AI25" i="13"/>
  <c r="AI24" i="13"/>
  <c r="AI23" i="13"/>
  <c r="AI22" i="13"/>
  <c r="AI21" i="13"/>
  <c r="AI19" i="13"/>
  <c r="AI18" i="13"/>
  <c r="AI17" i="13"/>
  <c r="AI16" i="13"/>
  <c r="AI15" i="13"/>
  <c r="AI14" i="13"/>
  <c r="AI12" i="13"/>
  <c r="AI11" i="13"/>
  <c r="AI9" i="13"/>
  <c r="AI8" i="13"/>
  <c r="AI7" i="13"/>
  <c r="AI6" i="13"/>
  <c r="AI5" i="13"/>
  <c r="BQ26" i="7"/>
  <c r="BP26" i="7"/>
  <c r="BQ25" i="7"/>
  <c r="BP25" i="7"/>
  <c r="BQ24" i="7"/>
  <c r="BP24" i="7"/>
  <c r="BQ22" i="7"/>
  <c r="BP22" i="7"/>
  <c r="BQ21" i="7"/>
  <c r="BP21" i="7"/>
  <c r="BQ20" i="7"/>
  <c r="BP20" i="7"/>
  <c r="BQ19" i="7"/>
  <c r="BP19" i="7"/>
  <c r="BQ18" i="7"/>
  <c r="BP18" i="7"/>
  <c r="BQ17" i="7"/>
  <c r="BP17" i="7"/>
  <c r="BQ16" i="7"/>
  <c r="BP16" i="7"/>
  <c r="BQ15" i="7"/>
  <c r="BP15" i="7"/>
  <c r="BQ14" i="7"/>
  <c r="BP14" i="7"/>
  <c r="BQ13" i="7"/>
  <c r="BP13" i="7"/>
  <c r="BQ12" i="7"/>
  <c r="BP12" i="7"/>
  <c r="BQ11" i="7"/>
  <c r="BP11" i="7"/>
  <c r="BQ10" i="7"/>
  <c r="BP10" i="7"/>
  <c r="BQ9" i="7"/>
  <c r="BP9" i="7"/>
  <c r="BQ8" i="7"/>
  <c r="BP8" i="7"/>
  <c r="BQ7" i="7"/>
  <c r="BP7" i="7"/>
  <c r="BQ6" i="7"/>
  <c r="BP6" i="7"/>
  <c r="BQ5" i="7"/>
  <c r="BP5" i="7"/>
  <c r="BQ80" i="6"/>
  <c r="BP80" i="6"/>
  <c r="BQ79" i="6"/>
  <c r="BP79" i="6"/>
  <c r="BQ78" i="6"/>
  <c r="BP78" i="6"/>
  <c r="BQ65" i="6"/>
  <c r="BP65" i="6"/>
  <c r="BQ64" i="6"/>
  <c r="BP64" i="6"/>
  <c r="BQ63" i="6"/>
  <c r="BP63" i="6"/>
  <c r="BQ62" i="6"/>
  <c r="BP62" i="6"/>
  <c r="BQ48" i="6"/>
  <c r="BP48" i="6"/>
  <c r="BQ47" i="6"/>
  <c r="BP47" i="6"/>
  <c r="BQ46" i="6"/>
  <c r="BP46" i="6"/>
  <c r="BQ40" i="6"/>
  <c r="BP40" i="6"/>
  <c r="BQ39" i="6"/>
  <c r="BP39" i="6"/>
  <c r="BQ38" i="6"/>
  <c r="BP38" i="6"/>
  <c r="BQ32" i="6"/>
  <c r="BP32" i="6"/>
  <c r="BQ31" i="6"/>
  <c r="BP31" i="6"/>
  <c r="BQ30" i="6"/>
  <c r="BP30" i="6"/>
  <c r="BQ23" i="6"/>
  <c r="BP23" i="6"/>
  <c r="BQ15" i="6"/>
  <c r="BP15" i="6"/>
  <c r="BQ14" i="6"/>
  <c r="BP14" i="6"/>
  <c r="BQ8" i="6"/>
  <c r="BP8" i="6"/>
  <c r="BQ7" i="6"/>
  <c r="BP7" i="6"/>
  <c r="BQ6" i="6"/>
  <c r="BP6" i="6"/>
  <c r="AQ57" i="6"/>
  <c r="AP57" i="6"/>
  <c r="AQ54" i="6"/>
  <c r="AP54" i="6"/>
  <c r="BQ61" i="5" l="1"/>
  <c r="BP61" i="5"/>
  <c r="BQ60" i="5"/>
  <c r="BP60" i="5"/>
  <c r="BQ49" i="5"/>
  <c r="BP49" i="5"/>
  <c r="BQ48" i="5"/>
  <c r="BP48" i="5"/>
  <c r="BQ42" i="5"/>
  <c r="BQ37" i="5"/>
  <c r="BP37" i="5"/>
  <c r="BQ36" i="5"/>
  <c r="BP36" i="5"/>
  <c r="BQ31" i="5"/>
  <c r="BP31" i="5"/>
  <c r="BQ30" i="5"/>
  <c r="BP30" i="5"/>
  <c r="BQ25" i="5"/>
  <c r="BP25" i="5"/>
  <c r="BQ24" i="5"/>
  <c r="BP24" i="5"/>
  <c r="BQ7" i="5"/>
  <c r="BP7" i="5"/>
  <c r="BQ6" i="5"/>
  <c r="BP6" i="5"/>
  <c r="AQ43" i="5"/>
  <c r="AP43" i="5"/>
  <c r="AQ42" i="5"/>
  <c r="AP42" i="5"/>
  <c r="BP42" i="5" s="1"/>
  <c r="BQ71" i="4" l="1"/>
  <c r="BP71" i="4"/>
  <c r="BQ70" i="4"/>
  <c r="BP70" i="4"/>
  <c r="BQ69" i="4"/>
  <c r="BP69" i="4"/>
  <c r="BQ57" i="4"/>
  <c r="BP57" i="4"/>
  <c r="BQ56" i="4"/>
  <c r="BP56" i="4"/>
  <c r="BQ55" i="4"/>
  <c r="BP55" i="4"/>
  <c r="BQ43" i="4"/>
  <c r="BP43" i="4"/>
  <c r="BQ42" i="4"/>
  <c r="BP42" i="4"/>
  <c r="BQ41" i="4"/>
  <c r="BP41" i="4"/>
  <c r="BQ36" i="4"/>
  <c r="BP36" i="4"/>
  <c r="BQ35" i="4"/>
  <c r="BP35" i="4"/>
  <c r="BQ34" i="4"/>
  <c r="BP34" i="4"/>
  <c r="BQ29" i="4"/>
  <c r="BP29" i="4"/>
  <c r="BQ28" i="4"/>
  <c r="BP28" i="4"/>
  <c r="BQ27" i="4"/>
  <c r="BP27" i="4"/>
  <c r="BQ8" i="4"/>
  <c r="BP8" i="4"/>
  <c r="BQ7" i="4"/>
  <c r="BP7" i="4"/>
  <c r="BQ6" i="4"/>
  <c r="BP6" i="4"/>
  <c r="AQ50" i="4"/>
  <c r="AP50" i="4"/>
  <c r="AQ49" i="4"/>
  <c r="AP49" i="4"/>
  <c r="AQ48" i="4"/>
  <c r="AP48" i="4"/>
  <c r="AI30" i="3" l="1"/>
  <c r="AI29" i="3"/>
  <c r="AI28" i="3"/>
  <c r="AI27" i="3"/>
  <c r="AI26" i="3"/>
  <c r="AI25" i="3"/>
  <c r="AI24" i="3"/>
  <c r="AI23" i="3"/>
  <c r="AI22" i="3"/>
  <c r="AI21" i="3"/>
  <c r="AI19" i="3"/>
  <c r="AI18" i="3"/>
  <c r="AI17" i="3"/>
  <c r="AI15" i="3"/>
  <c r="AI14" i="3"/>
  <c r="AI12" i="3"/>
  <c r="AI11" i="3"/>
  <c r="AI10" i="3"/>
  <c r="AI9" i="3"/>
  <c r="AI7" i="3"/>
  <c r="AI6" i="3"/>
  <c r="AI5" i="3"/>
  <c r="BQ28" i="2"/>
  <c r="BP28" i="2"/>
  <c r="BP27" i="2"/>
  <c r="BQ26" i="2"/>
  <c r="BP26" i="2"/>
  <c r="BQ25" i="2"/>
  <c r="BP25" i="2"/>
  <c r="BP24" i="2"/>
  <c r="BQ23" i="2"/>
  <c r="BP23" i="2"/>
  <c r="BQ22" i="2"/>
  <c r="BP22" i="2"/>
  <c r="BQ20" i="2"/>
  <c r="BP20" i="2"/>
  <c r="BQ19" i="2"/>
  <c r="BP19" i="2"/>
  <c r="BQ18" i="2"/>
  <c r="BP18" i="2"/>
  <c r="BQ16" i="2"/>
  <c r="BP16" i="2"/>
  <c r="BQ14" i="2"/>
  <c r="BP14" i="2"/>
  <c r="BQ13" i="2"/>
  <c r="BP13" i="2"/>
  <c r="BQ12" i="2"/>
  <c r="BP12" i="2"/>
  <c r="BQ11" i="2"/>
  <c r="BP11" i="2"/>
  <c r="BQ10" i="2"/>
  <c r="BP10" i="2"/>
  <c r="BQ8" i="2"/>
  <c r="BP8" i="2"/>
  <c r="BQ7" i="2"/>
  <c r="BP7" i="2"/>
  <c r="BQ6" i="2"/>
  <c r="BP6" i="2"/>
  <c r="BQ16" i="1"/>
  <c r="BP16" i="1"/>
  <c r="BQ15" i="1"/>
  <c r="BP15" i="1"/>
  <c r="BQ14" i="1"/>
  <c r="BP14" i="1"/>
  <c r="BQ13" i="1"/>
  <c r="BP13" i="1"/>
  <c r="AU19" i="1" l="1"/>
  <c r="BQ19" i="1" s="1"/>
  <c r="AT19" i="1"/>
  <c r="BP19" i="1" s="1"/>
  <c r="AU18" i="1"/>
  <c r="BQ18" i="1" s="1"/>
  <c r="AT18" i="1"/>
  <c r="BP18" i="1" s="1"/>
  <c r="AU12" i="1"/>
  <c r="BQ12" i="1" s="1"/>
  <c r="AT12" i="1"/>
  <c r="BP12" i="1" s="1"/>
  <c r="AU11" i="1"/>
  <c r="BQ11" i="1" s="1"/>
  <c r="AT11" i="1"/>
  <c r="BP11" i="1" s="1"/>
  <c r="AU10" i="1"/>
  <c r="BQ10" i="1" s="1"/>
  <c r="AT10" i="1"/>
  <c r="BP10" i="1" s="1"/>
  <c r="AU9" i="1"/>
  <c r="BQ9" i="1" s="1"/>
  <c r="AT9" i="1"/>
  <c r="BP9" i="1" s="1"/>
  <c r="AU8" i="1"/>
  <c r="BQ8" i="1" s="1"/>
  <c r="AT8" i="1"/>
  <c r="BP8" i="1" s="1"/>
  <c r="AU7" i="1"/>
  <c r="BQ7" i="1" s="1"/>
  <c r="AT7" i="1"/>
  <c r="AU6" i="1"/>
  <c r="BQ6" i="1" s="1"/>
  <c r="AT6" i="1"/>
  <c r="BP6" i="1" s="1"/>
  <c r="AU5" i="1"/>
  <c r="BQ5" i="1" s="1"/>
  <c r="AT5" i="1"/>
  <c r="BP5" i="1" s="1"/>
  <c r="AU21" i="2"/>
  <c r="AT21" i="2"/>
  <c r="X7" i="10"/>
  <c r="X10" i="13"/>
  <c r="AI10" i="13" s="1"/>
  <c r="X15" i="17"/>
  <c r="DL12" i="27"/>
  <c r="DJ12" i="27"/>
  <c r="DI12" i="27"/>
  <c r="DL10" i="27"/>
  <c r="DK10" i="27"/>
  <c r="DJ10" i="27"/>
  <c r="DI10" i="27"/>
  <c r="BM17" i="1"/>
  <c r="BQ17" i="1" s="1"/>
  <c r="BL17" i="1"/>
  <c r="BP17" i="1" s="1"/>
  <c r="BM7" i="1"/>
  <c r="BL7" i="1"/>
  <c r="BM21" i="2"/>
  <c r="BL21" i="2"/>
  <c r="BM15" i="2"/>
  <c r="BL15" i="2"/>
  <c r="AG8" i="3"/>
  <c r="AI13" i="10"/>
  <c r="M15" i="17"/>
  <c r="Y25" i="6"/>
  <c r="Y24" i="6"/>
  <c r="Y22" i="6"/>
  <c r="X25" i="6"/>
  <c r="X24" i="6"/>
  <c r="X22" i="6"/>
  <c r="Y19" i="5"/>
  <c r="X19" i="5"/>
  <c r="Y18" i="5"/>
  <c r="X18" i="5"/>
  <c r="Y22" i="4"/>
  <c r="Y21" i="4"/>
  <c r="Y20" i="4"/>
  <c r="X22" i="4"/>
  <c r="X21" i="4"/>
  <c r="X20" i="4"/>
  <c r="AU9" i="26"/>
  <c r="AU7" i="26"/>
  <c r="AU6" i="26"/>
  <c r="AW9" i="26"/>
  <c r="AV9" i="26" s="1"/>
  <c r="AW8" i="26"/>
  <c r="AW7" i="26"/>
  <c r="AW6" i="26"/>
  <c r="AV14" i="26"/>
  <c r="AV13" i="26"/>
  <c r="AV12" i="26"/>
  <c r="AV11" i="26"/>
  <c r="AV10" i="26"/>
  <c r="AV8" i="26"/>
  <c r="AV5" i="26"/>
  <c r="CU14" i="26"/>
  <c r="CU13" i="26"/>
  <c r="CU12" i="26"/>
  <c r="CU11" i="26"/>
  <c r="CU10" i="26"/>
  <c r="CU9" i="26"/>
  <c r="CU5" i="26"/>
  <c r="CT9" i="26"/>
  <c r="CT7" i="26"/>
  <c r="CT6" i="26"/>
  <c r="CV9" i="26"/>
  <c r="CV8" i="26"/>
  <c r="CV7" i="26"/>
  <c r="CU7" i="26" s="1"/>
  <c r="CV6" i="26"/>
  <c r="CU6" i="26" s="1"/>
  <c r="CO14" i="26"/>
  <c r="CO13" i="26"/>
  <c r="CO12" i="26"/>
  <c r="CO11" i="26"/>
  <c r="CO10" i="26"/>
  <c r="CO9" i="26"/>
  <c r="CO8" i="26"/>
  <c r="CO7" i="26"/>
  <c r="CO6" i="26"/>
  <c r="CO5" i="26"/>
  <c r="CL14" i="26"/>
  <c r="CL13" i="26"/>
  <c r="CL12" i="26"/>
  <c r="CL11" i="26"/>
  <c r="CL10" i="26"/>
  <c r="CL9" i="26"/>
  <c r="CL8" i="26"/>
  <c r="CL7" i="26"/>
  <c r="CL6" i="26"/>
  <c r="CL5" i="26"/>
  <c r="CI14" i="26"/>
  <c r="CI13" i="26"/>
  <c r="CI12" i="26"/>
  <c r="CI11" i="26"/>
  <c r="CI10" i="26"/>
  <c r="CI9" i="26"/>
  <c r="CI8" i="26"/>
  <c r="CI7" i="26"/>
  <c r="CI6" i="26"/>
  <c r="CI5" i="26"/>
  <c r="CF15" i="26"/>
  <c r="CF14" i="26"/>
  <c r="CF13" i="26"/>
  <c r="CF12" i="26"/>
  <c r="CF11" i="26"/>
  <c r="CF10" i="26"/>
  <c r="CF9" i="26"/>
  <c r="CF8" i="26"/>
  <c r="CF7" i="26"/>
  <c r="CF6" i="26"/>
  <c r="CF5" i="26"/>
  <c r="CC14" i="26"/>
  <c r="CC13" i="26"/>
  <c r="CC12" i="26"/>
  <c r="CC11" i="26"/>
  <c r="CC10" i="26"/>
  <c r="CC9" i="26"/>
  <c r="CC8" i="26"/>
  <c r="CC7" i="26"/>
  <c r="CC6" i="26"/>
  <c r="CC5" i="26"/>
  <c r="BZ13" i="26"/>
  <c r="BZ12" i="26"/>
  <c r="BZ11" i="26"/>
  <c r="BZ10" i="26"/>
  <c r="BZ8" i="26"/>
  <c r="BZ7" i="26"/>
  <c r="BZ6" i="26"/>
  <c r="BZ5" i="26"/>
  <c r="BW14" i="26"/>
  <c r="BW13" i="26"/>
  <c r="BW12" i="26"/>
  <c r="BW11" i="26"/>
  <c r="BW10" i="26"/>
  <c r="BW9" i="26"/>
  <c r="BW8" i="26"/>
  <c r="BW7" i="26"/>
  <c r="BW6" i="26"/>
  <c r="BW5" i="26"/>
  <c r="BQ14" i="26"/>
  <c r="BQ13" i="26"/>
  <c r="BQ12" i="26"/>
  <c r="BQ11" i="26"/>
  <c r="BQ10" i="26"/>
  <c r="BQ8" i="26"/>
  <c r="BQ7" i="26"/>
  <c r="BQ6" i="26"/>
  <c r="BQ5" i="26"/>
  <c r="BT14" i="26"/>
  <c r="BT13" i="26"/>
  <c r="BT12" i="26"/>
  <c r="BT11" i="26"/>
  <c r="BT10" i="26"/>
  <c r="BT7" i="26"/>
  <c r="BT6" i="26"/>
  <c r="BT5" i="26"/>
  <c r="BN14" i="26"/>
  <c r="BN13" i="26"/>
  <c r="BN12" i="26"/>
  <c r="BN10" i="26"/>
  <c r="BN8" i="26"/>
  <c r="BN7" i="26"/>
  <c r="BN6" i="26"/>
  <c r="BN5" i="26"/>
  <c r="BM11" i="26"/>
  <c r="BH14" i="26"/>
  <c r="BH13" i="26"/>
  <c r="BH12" i="26"/>
  <c r="BH11" i="26"/>
  <c r="BH10" i="26"/>
  <c r="BH8" i="26"/>
  <c r="BH7" i="26"/>
  <c r="BH6" i="26"/>
  <c r="BH5" i="26"/>
  <c r="BB14" i="26"/>
  <c r="BB13" i="26"/>
  <c r="BB12" i="26"/>
  <c r="BB11" i="26"/>
  <c r="BB10" i="26"/>
  <c r="BB9" i="26"/>
  <c r="BB8" i="26"/>
  <c r="BB7" i="26"/>
  <c r="BB6" i="26"/>
  <c r="BB5" i="26"/>
  <c r="BE14" i="26"/>
  <c r="BE13" i="26"/>
  <c r="BE12" i="26"/>
  <c r="BE11" i="26"/>
  <c r="BE10" i="26"/>
  <c r="BE9" i="26"/>
  <c r="BE8" i="26"/>
  <c r="BE7" i="26"/>
  <c r="BE6" i="26"/>
  <c r="BE5" i="26"/>
  <c r="AY14" i="26"/>
  <c r="AY13" i="26"/>
  <c r="AY12" i="26"/>
  <c r="AY11" i="26"/>
  <c r="AY10" i="26"/>
  <c r="AY9" i="26"/>
  <c r="AY8" i="26"/>
  <c r="AY7" i="26"/>
  <c r="AY6" i="26"/>
  <c r="AY5" i="26"/>
  <c r="AS14" i="26"/>
  <c r="AS13" i="26"/>
  <c r="AS12" i="26"/>
  <c r="AS11" i="26"/>
  <c r="AS10" i="26"/>
  <c r="AS9" i="26"/>
  <c r="AS8" i="26"/>
  <c r="AS7" i="26"/>
  <c r="AS6" i="26"/>
  <c r="AS5" i="26"/>
  <c r="AP14" i="26"/>
  <c r="AP13" i="26"/>
  <c r="AP12" i="26"/>
  <c r="AP11" i="26"/>
  <c r="AP10" i="26"/>
  <c r="AP9" i="26"/>
  <c r="AP8" i="26"/>
  <c r="AP7" i="26"/>
  <c r="AP6" i="26"/>
  <c r="AP5" i="26"/>
  <c r="AM13" i="26"/>
  <c r="AM12" i="26"/>
  <c r="AM11" i="26"/>
  <c r="AM10" i="26"/>
  <c r="AM9" i="26"/>
  <c r="AM8" i="26"/>
  <c r="AM7" i="26"/>
  <c r="AM6" i="26"/>
  <c r="AM5" i="26"/>
  <c r="AJ14" i="26"/>
  <c r="AJ13" i="26"/>
  <c r="AJ12" i="26"/>
  <c r="AJ11" i="26"/>
  <c r="AJ10" i="26"/>
  <c r="AJ9" i="26"/>
  <c r="AJ8" i="26"/>
  <c r="AJ7" i="26"/>
  <c r="AJ6" i="26"/>
  <c r="AJ5" i="26"/>
  <c r="AG14" i="26"/>
  <c r="AG13" i="26"/>
  <c r="AG12" i="26"/>
  <c r="AG11" i="26"/>
  <c r="AG10" i="26"/>
  <c r="AG8" i="26"/>
  <c r="AG7" i="26"/>
  <c r="AG6" i="26"/>
  <c r="AG5" i="26"/>
  <c r="AD12" i="26"/>
  <c r="AD11" i="26"/>
  <c r="AD10" i="26"/>
  <c r="AD8" i="26"/>
  <c r="AD7" i="26"/>
  <c r="AD6" i="26"/>
  <c r="AD5" i="26"/>
  <c r="AA12" i="26"/>
  <c r="AA11" i="26"/>
  <c r="AA10" i="26"/>
  <c r="AA9" i="26"/>
  <c r="AA7" i="26"/>
  <c r="AA6" i="26"/>
  <c r="AA5" i="26"/>
  <c r="X14" i="26"/>
  <c r="X13" i="26"/>
  <c r="X12" i="26"/>
  <c r="X11" i="26"/>
  <c r="X10" i="26"/>
  <c r="X8" i="26"/>
  <c r="X7" i="26"/>
  <c r="X6" i="26"/>
  <c r="X5" i="26"/>
  <c r="U14" i="26"/>
  <c r="U13" i="26"/>
  <c r="U12" i="26"/>
  <c r="U11" i="26"/>
  <c r="U10" i="26"/>
  <c r="U9" i="26"/>
  <c r="U8" i="26"/>
  <c r="U7" i="26"/>
  <c r="U6" i="26"/>
  <c r="U5" i="26"/>
  <c r="R14" i="26"/>
  <c r="R13" i="26"/>
  <c r="R12" i="26"/>
  <c r="R11" i="26"/>
  <c r="R10" i="26"/>
  <c r="R9" i="26"/>
  <c r="R8" i="26"/>
  <c r="R7" i="26"/>
  <c r="R6" i="26"/>
  <c r="R5" i="26"/>
  <c r="O14" i="26"/>
  <c r="O13" i="26"/>
  <c r="O12" i="26"/>
  <c r="O11" i="26"/>
  <c r="O10" i="26"/>
  <c r="O9" i="26"/>
  <c r="O8" i="26"/>
  <c r="O7" i="26"/>
  <c r="O6" i="26"/>
  <c r="O5" i="26"/>
  <c r="L12" i="26"/>
  <c r="L11" i="26"/>
  <c r="L10" i="26"/>
  <c r="M8" i="26"/>
  <c r="L8" i="26" s="1"/>
  <c r="M7" i="26"/>
  <c r="L7" i="26" s="1"/>
  <c r="M6" i="26"/>
  <c r="L6" i="26" s="1"/>
  <c r="L14" i="26"/>
  <c r="L13" i="26"/>
  <c r="L5" i="26"/>
  <c r="I14" i="26"/>
  <c r="I13" i="26"/>
  <c r="I12" i="26"/>
  <c r="I11" i="26"/>
  <c r="I10" i="26"/>
  <c r="I9" i="26"/>
  <c r="I8" i="26"/>
  <c r="I7" i="26"/>
  <c r="I6" i="26"/>
  <c r="I5" i="26"/>
  <c r="F14" i="26"/>
  <c r="F13" i="26"/>
  <c r="F12" i="26"/>
  <c r="F11" i="26"/>
  <c r="F10" i="26"/>
  <c r="F9" i="26"/>
  <c r="F8" i="26"/>
  <c r="F7" i="26"/>
  <c r="F6" i="26"/>
  <c r="F5" i="26"/>
  <c r="C13" i="26"/>
  <c r="C12" i="26"/>
  <c r="C11" i="26"/>
  <c r="C10" i="26"/>
  <c r="C9" i="26"/>
  <c r="C8" i="26"/>
  <c r="C7" i="26"/>
  <c r="C6" i="26"/>
  <c r="C5" i="26"/>
  <c r="BO11" i="26"/>
  <c r="BN11" i="26" s="1"/>
  <c r="BP7" i="1" l="1"/>
  <c r="AV7" i="26"/>
  <c r="AV6" i="26"/>
  <c r="EG15" i="24"/>
  <c r="EF15" i="24"/>
  <c r="EE15" i="24"/>
  <c r="ED15" i="24"/>
  <c r="EG14" i="24"/>
  <c r="EF14" i="24"/>
  <c r="EE14" i="24"/>
  <c r="ED14" i="24"/>
  <c r="EG13" i="24"/>
  <c r="EF13" i="24"/>
  <c r="EE13" i="24"/>
  <c r="ED13" i="24"/>
  <c r="EG10" i="24"/>
  <c r="EF10" i="24"/>
  <c r="EE10" i="24"/>
  <c r="ED10" i="24"/>
  <c r="EG9" i="24"/>
  <c r="EF9" i="24"/>
  <c r="EE9" i="24"/>
  <c r="ED9" i="24"/>
  <c r="EG8" i="24"/>
  <c r="EF8" i="24"/>
  <c r="EE8" i="24"/>
  <c r="ED8" i="24"/>
  <c r="EG7" i="24"/>
  <c r="EF7" i="24"/>
  <c r="EE7" i="24"/>
  <c r="ED7" i="24"/>
  <c r="EG6" i="24"/>
  <c r="EF6" i="24"/>
  <c r="EE6" i="24"/>
  <c r="ED6" i="24"/>
  <c r="BQ12" i="24"/>
  <c r="EG12" i="24" s="1"/>
  <c r="BP12" i="24"/>
  <c r="EF12" i="24" s="1"/>
  <c r="BO12" i="24"/>
  <c r="EE12" i="24" s="1"/>
  <c r="BN12" i="24"/>
  <c r="ED12" i="24" s="1"/>
  <c r="BI11" i="24"/>
  <c r="BH11" i="24"/>
  <c r="BG11" i="24"/>
  <c r="BF11" i="24"/>
  <c r="AK11" i="24"/>
  <c r="EG11" i="24" s="1"/>
  <c r="AJ11" i="24"/>
  <c r="EF11" i="24" s="1"/>
  <c r="AI11" i="24"/>
  <c r="EE11" i="24" s="1"/>
  <c r="AH11" i="24"/>
  <c r="ED11" i="24" s="1"/>
  <c r="BM73" i="6"/>
  <c r="BL73" i="6"/>
  <c r="BK73" i="6"/>
  <c r="BJ73" i="6"/>
  <c r="BI73" i="6"/>
  <c r="BH73" i="6"/>
  <c r="BA73" i="6"/>
  <c r="AZ73" i="6"/>
  <c r="AY73" i="6"/>
  <c r="AX73" i="6"/>
  <c r="AU73" i="6"/>
  <c r="AT73" i="6"/>
  <c r="AS73" i="6"/>
  <c r="AR73" i="6"/>
  <c r="AQ73" i="6"/>
  <c r="AP73" i="6"/>
  <c r="AO73" i="6"/>
  <c r="AN73" i="6"/>
  <c r="AM73" i="6"/>
  <c r="AL73" i="6"/>
  <c r="AI73" i="6"/>
  <c r="AH73" i="6"/>
  <c r="AG73" i="6"/>
  <c r="AF73" i="6"/>
  <c r="AE73" i="6"/>
  <c r="AD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BM72" i="6"/>
  <c r="BL72" i="6"/>
  <c r="BK72" i="6"/>
  <c r="BJ72" i="6"/>
  <c r="BI72" i="6"/>
  <c r="BH72" i="6"/>
  <c r="BA72" i="6"/>
  <c r="AZ72" i="6"/>
  <c r="AY72" i="6"/>
  <c r="AX72" i="6"/>
  <c r="AU72" i="6"/>
  <c r="AT72" i="6"/>
  <c r="AS72" i="6"/>
  <c r="AR72" i="6"/>
  <c r="AQ72" i="6"/>
  <c r="AP72" i="6"/>
  <c r="AO72" i="6"/>
  <c r="AN72" i="6"/>
  <c r="AM72" i="6"/>
  <c r="AL72" i="6"/>
  <c r="AI72" i="6"/>
  <c r="AH72" i="6"/>
  <c r="AG72" i="6"/>
  <c r="AF72" i="6"/>
  <c r="AE72" i="6"/>
  <c r="AD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BO71" i="6"/>
  <c r="BN71" i="6"/>
  <c r="BM71" i="6"/>
  <c r="BL71" i="6"/>
  <c r="BK71" i="6"/>
  <c r="BJ71" i="6"/>
  <c r="BI71" i="6"/>
  <c r="BH71" i="6"/>
  <c r="BG71" i="6"/>
  <c r="BF71" i="6"/>
  <c r="BE71" i="6"/>
  <c r="BD71" i="6"/>
  <c r="BC71" i="6"/>
  <c r="BB71" i="6"/>
  <c r="BA71" i="6"/>
  <c r="AZ71" i="6"/>
  <c r="AY71" i="6"/>
  <c r="AX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B71" i="6"/>
  <c r="AA71" i="6"/>
  <c r="Z71" i="6"/>
  <c r="W71" i="6"/>
  <c r="V71" i="6"/>
  <c r="U71" i="6"/>
  <c r="T71" i="6"/>
  <c r="S71" i="6"/>
  <c r="R71" i="6"/>
  <c r="Q71" i="6"/>
  <c r="P71" i="6"/>
  <c r="O71" i="6"/>
  <c r="N71" i="6"/>
  <c r="M71" i="6"/>
  <c r="L71" i="6"/>
  <c r="BM70" i="6"/>
  <c r="BL70" i="6"/>
  <c r="BK70" i="6"/>
  <c r="BJ70" i="6"/>
  <c r="BI70" i="6"/>
  <c r="BH70" i="6"/>
  <c r="BA70" i="6"/>
  <c r="AZ70" i="6"/>
  <c r="AY70" i="6"/>
  <c r="AX70" i="6"/>
  <c r="AU70" i="6"/>
  <c r="AT70" i="6"/>
  <c r="AS70" i="6"/>
  <c r="AR70" i="6"/>
  <c r="AQ70" i="6"/>
  <c r="AP70" i="6"/>
  <c r="AO70" i="6"/>
  <c r="AN70" i="6"/>
  <c r="AM70" i="6"/>
  <c r="AL70" i="6"/>
  <c r="AI70" i="6"/>
  <c r="AH70" i="6"/>
  <c r="AG70" i="6"/>
  <c r="AF70" i="6"/>
  <c r="AE70" i="6"/>
  <c r="AD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U64" i="4"/>
  <c r="AT64" i="4"/>
  <c r="AR64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U63" i="4"/>
  <c r="AT63" i="4"/>
  <c r="AR63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U62" i="4"/>
  <c r="AT62" i="4"/>
  <c r="AR62" i="4"/>
  <c r="AQ64" i="4"/>
  <c r="AP64" i="4"/>
  <c r="AO64" i="4"/>
  <c r="AN64" i="4"/>
  <c r="AQ63" i="4"/>
  <c r="AP63" i="4"/>
  <c r="AO63" i="4"/>
  <c r="AN63" i="4"/>
  <c r="AQ62" i="4"/>
  <c r="AP62" i="4"/>
  <c r="AO62" i="4"/>
  <c r="AN62" i="4"/>
  <c r="AL64" i="4"/>
  <c r="AL63" i="4"/>
  <c r="AL62" i="4"/>
  <c r="AK64" i="4"/>
  <c r="AJ64" i="4"/>
  <c r="AK63" i="4"/>
  <c r="AJ63" i="4"/>
  <c r="AK62" i="4"/>
  <c r="AJ62" i="4"/>
  <c r="AI64" i="4"/>
  <c r="AH64" i="4"/>
  <c r="AI63" i="4"/>
  <c r="AH63" i="4"/>
  <c r="AI62" i="4"/>
  <c r="AH62" i="4"/>
  <c r="AG64" i="4"/>
  <c r="AF64" i="4"/>
  <c r="AG63" i="4"/>
  <c r="AF63" i="4"/>
  <c r="AG62" i="4"/>
  <c r="AF62" i="4"/>
  <c r="AE64" i="4"/>
  <c r="AD64" i="4"/>
  <c r="AE63" i="4"/>
  <c r="AD63" i="4"/>
  <c r="AE62" i="4"/>
  <c r="AD62" i="4"/>
  <c r="AA64" i="4"/>
  <c r="Z64" i="4"/>
  <c r="AA63" i="4"/>
  <c r="Z63" i="4"/>
  <c r="AA62" i="4"/>
  <c r="Z62" i="4"/>
  <c r="Y64" i="4"/>
  <c r="X64" i="4"/>
  <c r="Y63" i="4"/>
  <c r="X63" i="4"/>
  <c r="Y62" i="4"/>
  <c r="X62" i="4"/>
  <c r="W64" i="4"/>
  <c r="V64" i="4"/>
  <c r="W63" i="4"/>
  <c r="V63" i="4"/>
  <c r="W62" i="4"/>
  <c r="V62" i="4"/>
  <c r="U64" i="4"/>
  <c r="T64" i="4"/>
  <c r="U63" i="4"/>
  <c r="T63" i="4"/>
  <c r="U62" i="4"/>
  <c r="T62" i="4"/>
  <c r="S64" i="4"/>
  <c r="R64" i="4"/>
  <c r="S63" i="4"/>
  <c r="R63" i="4"/>
  <c r="S62" i="4"/>
  <c r="R62" i="4"/>
  <c r="Q64" i="4"/>
  <c r="P64" i="4"/>
  <c r="Q63" i="4"/>
  <c r="P63" i="4"/>
  <c r="Q62" i="4"/>
  <c r="P62" i="4"/>
  <c r="O64" i="4"/>
  <c r="N64" i="4"/>
  <c r="O63" i="4"/>
  <c r="N63" i="4"/>
  <c r="O62" i="4"/>
  <c r="N62" i="4"/>
  <c r="M64" i="4"/>
  <c r="L64" i="4"/>
  <c r="M63" i="4"/>
  <c r="L63" i="4"/>
  <c r="M62" i="4"/>
  <c r="L62" i="4"/>
  <c r="K73" i="6"/>
  <c r="K72" i="6"/>
  <c r="K71" i="6"/>
  <c r="K70" i="6"/>
  <c r="J73" i="6"/>
  <c r="J72" i="6"/>
  <c r="J71" i="6"/>
  <c r="J70" i="6"/>
  <c r="K55" i="5"/>
  <c r="K54" i="5"/>
  <c r="J55" i="5"/>
  <c r="J54" i="5"/>
  <c r="K64" i="4"/>
  <c r="K63" i="4"/>
  <c r="K62" i="4"/>
  <c r="J64" i="4"/>
  <c r="J63" i="4"/>
  <c r="J62" i="4"/>
  <c r="AI16" i="10"/>
  <c r="AI15" i="10"/>
  <c r="AI14" i="10"/>
  <c r="AI12" i="10"/>
  <c r="AI11" i="10"/>
  <c r="AI10" i="10"/>
  <c r="AI9" i="10"/>
  <c r="AI8" i="10"/>
  <c r="AI7" i="10"/>
  <c r="AI6" i="10"/>
  <c r="AI5" i="10"/>
  <c r="AI4" i="10"/>
  <c r="F15" i="17"/>
  <c r="E15" i="17"/>
  <c r="AF21" i="12"/>
  <c r="AE21" i="12"/>
  <c r="AC21" i="12"/>
  <c r="AB21" i="12"/>
  <c r="Z21" i="12"/>
  <c r="U21" i="12"/>
  <c r="S21" i="12"/>
  <c r="R21" i="12"/>
  <c r="Q21" i="12"/>
  <c r="O21" i="12"/>
  <c r="K21" i="12"/>
  <c r="J21" i="12"/>
  <c r="I21" i="12"/>
  <c r="G21" i="12"/>
  <c r="E21" i="12"/>
  <c r="C21" i="12"/>
  <c r="AH39" i="12"/>
  <c r="AF39" i="12"/>
  <c r="AE39" i="12"/>
  <c r="AC39" i="12"/>
  <c r="AB39" i="12"/>
  <c r="Z39" i="12"/>
  <c r="U39" i="12"/>
  <c r="S39" i="12"/>
  <c r="R39" i="12"/>
  <c r="Q39" i="12"/>
  <c r="O39" i="12"/>
  <c r="K39" i="12"/>
  <c r="J39" i="12"/>
  <c r="I39" i="12"/>
  <c r="G39" i="12"/>
  <c r="E39" i="12"/>
  <c r="C39" i="12"/>
  <c r="AH60" i="12"/>
  <c r="AF60" i="12"/>
  <c r="AE60" i="12"/>
  <c r="AC60" i="12"/>
  <c r="AB60" i="12"/>
  <c r="Z60" i="12"/>
  <c r="U60" i="12"/>
  <c r="S60" i="12"/>
  <c r="R60" i="12"/>
  <c r="Q60" i="12"/>
  <c r="O60" i="12"/>
  <c r="J60" i="12"/>
  <c r="I60" i="12"/>
  <c r="G60" i="12"/>
  <c r="E60" i="12"/>
  <c r="C60" i="12"/>
  <c r="E77" i="12"/>
  <c r="C77" i="12"/>
  <c r="G77" i="12"/>
  <c r="I77" i="12"/>
  <c r="J77" i="12"/>
  <c r="K77" i="12"/>
  <c r="O77" i="12"/>
  <c r="Q77" i="12"/>
  <c r="R77" i="12"/>
  <c r="S77" i="12"/>
  <c r="U77" i="12"/>
  <c r="Z77" i="12"/>
  <c r="AB77" i="12"/>
  <c r="AC77" i="12"/>
  <c r="AD77" i="12"/>
  <c r="AE77" i="12"/>
  <c r="AF77" i="12"/>
  <c r="AH77" i="12"/>
  <c r="AA97" i="12"/>
  <c r="Y97" i="12"/>
  <c r="P97" i="12"/>
  <c r="F97" i="12"/>
  <c r="D97" i="12"/>
  <c r="B97" i="12"/>
  <c r="B114" i="12"/>
  <c r="F114" i="12"/>
  <c r="P114" i="12"/>
  <c r="Y114" i="12"/>
  <c r="AA114" i="12"/>
  <c r="T115" i="12"/>
  <c r="AH16" i="3"/>
  <c r="AF16" i="3"/>
  <c r="AC16" i="3"/>
  <c r="AB16" i="3"/>
  <c r="Z16" i="3"/>
  <c r="Y16" i="3"/>
  <c r="S16" i="3"/>
  <c r="R16" i="3"/>
  <c r="Q16" i="3"/>
  <c r="O16" i="3"/>
  <c r="N16" i="3"/>
  <c r="K16" i="3"/>
  <c r="J16" i="3"/>
  <c r="H16" i="3"/>
  <c r="G16" i="3"/>
  <c r="E16" i="3"/>
  <c r="G23" i="7"/>
  <c r="F23" i="7"/>
  <c r="BG57" i="6"/>
  <c r="BG73" i="6" s="1"/>
  <c r="BF57" i="6"/>
  <c r="BF73" i="6" s="1"/>
  <c r="BE57" i="6"/>
  <c r="BE73" i="6" s="1"/>
  <c r="BD57" i="6"/>
  <c r="BD73" i="6" s="1"/>
  <c r="BC57" i="6"/>
  <c r="BC73" i="6" s="1"/>
  <c r="BB57" i="6"/>
  <c r="BB73" i="6" s="1"/>
  <c r="AW57" i="6"/>
  <c r="AV57" i="6"/>
  <c r="BG56" i="6"/>
  <c r="BG72" i="6" s="1"/>
  <c r="BF56" i="6"/>
  <c r="BF72" i="6" s="1"/>
  <c r="BE56" i="6"/>
  <c r="BE72" i="6" s="1"/>
  <c r="BD56" i="6"/>
  <c r="BD72" i="6" s="1"/>
  <c r="BC56" i="6"/>
  <c r="BC72" i="6" s="1"/>
  <c r="BB56" i="6"/>
  <c r="BB72" i="6" s="1"/>
  <c r="AW56" i="6"/>
  <c r="AV56" i="6"/>
  <c r="AW55" i="6"/>
  <c r="AW71" i="6" s="1"/>
  <c r="AV55" i="6"/>
  <c r="AV71" i="6" s="1"/>
  <c r="BG54" i="6"/>
  <c r="BG70" i="6" s="1"/>
  <c r="BF54" i="6"/>
  <c r="BF70" i="6" s="1"/>
  <c r="BE54" i="6"/>
  <c r="BE70" i="6" s="1"/>
  <c r="BD54" i="6"/>
  <c r="BD70" i="6" s="1"/>
  <c r="BC54" i="6"/>
  <c r="BC70" i="6" s="1"/>
  <c r="BB54" i="6"/>
  <c r="BB70" i="6" s="1"/>
  <c r="AW54" i="6"/>
  <c r="AV54" i="6"/>
  <c r="AW25" i="6"/>
  <c r="AW73" i="6" s="1"/>
  <c r="AV25" i="6"/>
  <c r="AV73" i="6" s="1"/>
  <c r="AW24" i="6"/>
  <c r="AW72" i="6" s="1"/>
  <c r="AV24" i="6"/>
  <c r="AV72" i="6" s="1"/>
  <c r="AW22" i="6"/>
  <c r="AW70" i="6" s="1"/>
  <c r="AV22" i="6"/>
  <c r="AV70" i="6" s="1"/>
  <c r="AC57" i="6"/>
  <c r="AC73" i="6" s="1"/>
  <c r="AB57" i="6"/>
  <c r="AC56" i="6"/>
  <c r="BQ56" i="6" s="1"/>
  <c r="AB56" i="6"/>
  <c r="BP56" i="6" s="1"/>
  <c r="AC55" i="6"/>
  <c r="BQ55" i="6" s="1"/>
  <c r="AB55" i="6"/>
  <c r="BP55" i="6" s="1"/>
  <c r="AC54" i="6"/>
  <c r="BQ54" i="6" s="1"/>
  <c r="AB54" i="6"/>
  <c r="AB70" i="6" s="1"/>
  <c r="AB72" i="6" l="1"/>
  <c r="AC71" i="6"/>
  <c r="BQ71" i="6" s="1"/>
  <c r="AC72" i="6"/>
  <c r="AC70" i="6"/>
  <c r="BP54" i="6"/>
  <c r="AI16" i="3"/>
  <c r="BP71" i="6"/>
  <c r="AB11" i="14"/>
  <c r="U11" i="14"/>
  <c r="AI11" i="14" s="1"/>
  <c r="J5" i="14"/>
  <c r="AI5" i="14" s="1"/>
  <c r="AM23" i="7"/>
  <c r="AO23" i="7"/>
  <c r="AN23" i="7"/>
  <c r="AI23" i="7"/>
  <c r="AH23" i="7"/>
  <c r="AE23" i="7"/>
  <c r="AD23" i="7"/>
  <c r="AC43" i="5"/>
  <c r="BQ43" i="5" s="1"/>
  <c r="AB43" i="5"/>
  <c r="BP43" i="5" s="1"/>
  <c r="AC19" i="5"/>
  <c r="AB19" i="5"/>
  <c r="AC18" i="5"/>
  <c r="AB18" i="5"/>
  <c r="AC13" i="5"/>
  <c r="BQ13" i="5" s="1"/>
  <c r="AB13" i="5"/>
  <c r="BP13" i="5" s="1"/>
  <c r="AC12" i="5"/>
  <c r="BQ12" i="5" s="1"/>
  <c r="AB12" i="5"/>
  <c r="BP12" i="5" s="1"/>
  <c r="AA23" i="7"/>
  <c r="Z23" i="7"/>
  <c r="L70" i="12"/>
  <c r="L63" i="12"/>
  <c r="L52" i="12"/>
  <c r="L45" i="12"/>
  <c r="L32" i="12"/>
  <c r="L24" i="12"/>
  <c r="L13" i="12"/>
  <c r="L6" i="12"/>
  <c r="S23" i="7"/>
  <c r="BQ23" i="7" s="1"/>
  <c r="R23" i="7"/>
  <c r="BP23" i="7" s="1"/>
  <c r="AV19" i="5"/>
  <c r="AV55" i="5" s="1"/>
  <c r="AV18" i="5"/>
  <c r="AV54" i="5" s="1"/>
  <c r="AY23" i="7"/>
  <c r="AX23" i="7"/>
  <c r="BI23" i="7"/>
  <c r="BH23" i="7"/>
  <c r="AW22" i="4"/>
  <c r="AW21" i="4"/>
  <c r="AW20" i="4"/>
  <c r="AW62" i="4" s="1"/>
  <c r="AW50" i="4"/>
  <c r="AW49" i="4"/>
  <c r="AW48" i="4"/>
  <c r="AV50" i="4"/>
  <c r="AV49" i="4"/>
  <c r="AV48" i="4"/>
  <c r="AV22" i="4"/>
  <c r="AV21" i="4"/>
  <c r="AV63" i="4" s="1"/>
  <c r="AV20" i="4"/>
  <c r="AV62" i="4" s="1"/>
  <c r="AM50" i="4"/>
  <c r="AM64" i="4" s="1"/>
  <c r="AM49" i="4"/>
  <c r="AM63" i="4" s="1"/>
  <c r="AM48" i="4"/>
  <c r="AM62" i="4" s="1"/>
  <c r="AV64" i="4" l="1"/>
  <c r="AW63" i="4"/>
  <c r="AB54" i="5"/>
  <c r="AW64" i="4"/>
  <c r="AC54" i="5"/>
  <c r="BQ54" i="5" s="1"/>
  <c r="BP19" i="5"/>
  <c r="AB55" i="5"/>
  <c r="BP55" i="5" s="1"/>
  <c r="AC55" i="5"/>
  <c r="BQ55" i="5" s="1"/>
  <c r="BQ19" i="5"/>
  <c r="AC50" i="4"/>
  <c r="BQ50" i="4" s="1"/>
  <c r="AB50" i="4"/>
  <c r="BP50" i="4" s="1"/>
  <c r="AC49" i="4"/>
  <c r="BQ49" i="4" s="1"/>
  <c r="AB49" i="4"/>
  <c r="BP49" i="4" s="1"/>
  <c r="AC48" i="4"/>
  <c r="BQ48" i="4" s="1"/>
  <c r="AB48" i="4"/>
  <c r="BP48" i="4" s="1"/>
  <c r="AC22" i="4"/>
  <c r="AC21" i="4"/>
  <c r="AC20" i="4"/>
  <c r="AB22" i="4"/>
  <c r="AB21" i="4"/>
  <c r="AB20" i="4"/>
  <c r="AC15" i="4"/>
  <c r="BQ15" i="4" s="1"/>
  <c r="AC14" i="4"/>
  <c r="BQ14" i="4" s="1"/>
  <c r="AC13" i="4"/>
  <c r="AB15" i="4"/>
  <c r="BP15" i="4" s="1"/>
  <c r="AB14" i="4"/>
  <c r="BP14" i="4" s="1"/>
  <c r="AB13" i="4"/>
  <c r="AK25" i="6"/>
  <c r="AK24" i="6"/>
  <c r="AK22" i="6"/>
  <c r="AJ25" i="6"/>
  <c r="AJ24" i="6"/>
  <c r="AJ22" i="6"/>
  <c r="AE30" i="16"/>
  <c r="AE9" i="16"/>
  <c r="AD30" i="16"/>
  <c r="AD9" i="16"/>
  <c r="AC30" i="16"/>
  <c r="AC9" i="16"/>
  <c r="AB30" i="16"/>
  <c r="Z26" i="16"/>
  <c r="Z9" i="16"/>
  <c r="Y30" i="16"/>
  <c r="S12" i="16"/>
  <c r="AI12" i="16" s="1"/>
  <c r="R30" i="16"/>
  <c r="P30" i="16"/>
  <c r="P38" i="16"/>
  <c r="AI38" i="16" s="1"/>
  <c r="P26" i="16"/>
  <c r="P23" i="16"/>
  <c r="AI23" i="16" s="1"/>
  <c r="P19" i="16"/>
  <c r="AI19" i="16" s="1"/>
  <c r="N30" i="16"/>
  <c r="J30" i="16"/>
  <c r="G45" i="16"/>
  <c r="AI45" i="16" s="1"/>
  <c r="G42" i="16"/>
  <c r="AI42" i="16" s="1"/>
  <c r="G30" i="16"/>
  <c r="G26" i="16"/>
  <c r="G24" i="16"/>
  <c r="AI24" i="16" s="1"/>
  <c r="AB8" i="3"/>
  <c r="Y8" i="3"/>
  <c r="G15" i="17"/>
  <c r="L15" i="17"/>
  <c r="K15" i="17"/>
  <c r="N15" i="17"/>
  <c r="O15" i="17"/>
  <c r="P15" i="17"/>
  <c r="AD15" i="17"/>
  <c r="BI21" i="2"/>
  <c r="BH21" i="2"/>
  <c r="BE24" i="2"/>
  <c r="BQ24" i="2" s="1"/>
  <c r="BE21" i="2"/>
  <c r="BE15" i="2"/>
  <c r="AO21" i="2"/>
  <c r="AE21" i="2"/>
  <c r="AD21" i="2"/>
  <c r="AC21" i="2"/>
  <c r="AB21" i="2"/>
  <c r="U21" i="2"/>
  <c r="T21" i="2"/>
  <c r="W27" i="2"/>
  <c r="BQ27" i="2" s="1"/>
  <c r="W21" i="2"/>
  <c r="V21" i="2"/>
  <c r="W15" i="2"/>
  <c r="V15" i="2"/>
  <c r="BP15" i="2" s="1"/>
  <c r="M21" i="2"/>
  <c r="L21" i="2"/>
  <c r="BP21" i="2" s="1"/>
  <c r="BO24" i="6"/>
  <c r="BO22" i="6"/>
  <c r="BO70" i="6" s="1"/>
  <c r="BN24" i="6"/>
  <c r="BN22" i="6"/>
  <c r="BN70" i="6" s="1"/>
  <c r="BO16" i="6"/>
  <c r="BN16" i="6"/>
  <c r="BP16" i="6" s="1"/>
  <c r="BO81" i="6"/>
  <c r="BN81" i="6"/>
  <c r="BO57" i="6"/>
  <c r="BQ57" i="6" s="1"/>
  <c r="BN57" i="6"/>
  <c r="BP57" i="6" s="1"/>
  <c r="BO49" i="6"/>
  <c r="BQ49" i="6" s="1"/>
  <c r="BN49" i="6"/>
  <c r="BP49" i="6" s="1"/>
  <c r="BN41" i="6"/>
  <c r="BP41" i="6" s="1"/>
  <c r="BO41" i="6"/>
  <c r="BQ41" i="6" s="1"/>
  <c r="BO33" i="6"/>
  <c r="BQ33" i="6" s="1"/>
  <c r="BN33" i="6"/>
  <c r="BP33" i="6" s="1"/>
  <c r="BO9" i="6"/>
  <c r="BQ9" i="6" s="1"/>
  <c r="BN9" i="6"/>
  <c r="BP9" i="6" s="1"/>
  <c r="BO18" i="5"/>
  <c r="BO54" i="5" s="1"/>
  <c r="BN18" i="5"/>
  <c r="BN54" i="5" s="1"/>
  <c r="BO20" i="4"/>
  <c r="BO13" i="4"/>
  <c r="BN20" i="4"/>
  <c r="BN13" i="4"/>
  <c r="AH8" i="3"/>
  <c r="BP81" i="6" l="1"/>
  <c r="BQ24" i="6"/>
  <c r="AK72" i="6"/>
  <c r="AB62" i="4"/>
  <c r="BP20" i="4"/>
  <c r="BN62" i="4"/>
  <c r="BQ81" i="6"/>
  <c r="BQ21" i="2"/>
  <c r="AI15" i="17"/>
  <c r="AK73" i="6"/>
  <c r="BP21" i="4"/>
  <c r="AB63" i="4"/>
  <c r="BP63" i="4" s="1"/>
  <c r="BQ18" i="5"/>
  <c r="AI8" i="3"/>
  <c r="BP13" i="4"/>
  <c r="BP22" i="4"/>
  <c r="AB64" i="4"/>
  <c r="BP64" i="4" s="1"/>
  <c r="BO62" i="4"/>
  <c r="BO17" i="6"/>
  <c r="BQ17" i="6" s="1"/>
  <c r="BQ16" i="6"/>
  <c r="BQ15" i="2"/>
  <c r="AI9" i="16"/>
  <c r="AC62" i="4"/>
  <c r="BQ20" i="4"/>
  <c r="BP18" i="5"/>
  <c r="BQ21" i="4"/>
  <c r="AC63" i="4"/>
  <c r="BQ63" i="4" s="1"/>
  <c r="BP54" i="5"/>
  <c r="BP22" i="6"/>
  <c r="AJ70" i="6"/>
  <c r="BP70" i="6" s="1"/>
  <c r="BN72" i="6"/>
  <c r="AI26" i="16"/>
  <c r="AJ72" i="6"/>
  <c r="BP72" i="6" s="1"/>
  <c r="BP24" i="6"/>
  <c r="BQ13" i="4"/>
  <c r="BQ22" i="4"/>
  <c r="AC64" i="4"/>
  <c r="BQ64" i="4" s="1"/>
  <c r="AI30" i="16"/>
  <c r="AJ73" i="6"/>
  <c r="BO72" i="6"/>
  <c r="AK70" i="6"/>
  <c r="BQ70" i="6" s="1"/>
  <c r="BQ22" i="6"/>
  <c r="BO25" i="6"/>
  <c r="BO73" i="6" s="1"/>
  <c r="BN25" i="6"/>
  <c r="BP25" i="6" s="1"/>
  <c r="BN17" i="6"/>
  <c r="BP17" i="6" s="1"/>
  <c r="BQ73" i="6" l="1"/>
  <c r="BP62" i="4"/>
  <c r="BQ25" i="6"/>
  <c r="BQ72" i="6"/>
  <c r="BQ62" i="4"/>
  <c r="BN73" i="6"/>
  <c r="BP73" i="6" s="1"/>
</calcChain>
</file>

<file path=xl/sharedStrings.xml><?xml version="1.0" encoding="utf-8"?>
<sst xmlns="http://schemas.openxmlformats.org/spreadsheetml/2006/main" count="5038" uniqueCount="384">
  <si>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</si>
  <si>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</si>
  <si>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</si>
  <si>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</si>
  <si>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</si>
  <si>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</si>
  <si>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</si>
  <si>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</si>
  <si>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</si>
  <si>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</si>
  <si>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</si>
  <si>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</si>
  <si>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</si>
  <si>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</si>
  <si>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</si>
  <si>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</si>
  <si>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</si>
  <si>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</si>
  <si>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</si>
  <si>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</si>
  <si>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</si>
  <si>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</si>
  <si>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</si>
  <si>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</si>
  <si>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</si>
  <si>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</si>
  <si>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</si>
  <si>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</si>
  <si>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</si>
  <si>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</si>
  <si>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</si>
  <si>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</si>
  <si>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Premiums earned (Net)</t>
  </si>
  <si>
    <t>Profit/ Loss on sale/redemption of Investments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</si>
  <si>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</si>
  <si>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</si>
  <si>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</si>
  <si>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</si>
  <si>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</si>
  <si>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Premium Deficiency</t>
  </si>
  <si>
    <t>TOTAL (B)</t>
  </si>
  <si>
    <t>Operating profit / (loss) (A-B)</t>
  </si>
  <si>
    <t>NL-1 Revenue Account</t>
  </si>
  <si>
    <t>in Rs. '000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</si>
  <si>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</si>
  <si>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</si>
  <si>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</si>
  <si>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</si>
  <si>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</si>
  <si>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</si>
  <si>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</si>
  <si>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OTHER INCOME</t>
  </si>
  <si>
    <t>PROVISIONS (Other than taxation)</t>
  </si>
  <si>
    <t>(a) For diminution in the value of investments</t>
  </si>
  <si>
    <t>(b) For doubtful debts</t>
  </si>
  <si>
    <t>Provision for Taxation -</t>
  </si>
  <si>
    <t xml:space="preserve">              Current Tax</t>
  </si>
  <si>
    <t xml:space="preserve">              Deferred Tax</t>
  </si>
  <si>
    <t xml:space="preserve">              Adjustment of taxation for earlier years</t>
  </si>
  <si>
    <t>PROFIT / (LOSS) AFTER TAX</t>
  </si>
  <si>
    <t>SOURCES OF FUNDS</t>
  </si>
  <si>
    <t>TOTAL</t>
  </si>
  <si>
    <t>APPLICATION OF FUNDS</t>
  </si>
  <si>
    <t>Cash and Bank Balances</t>
  </si>
  <si>
    <t>Advances and Other Assets</t>
  </si>
  <si>
    <t>Sub-Total (A)</t>
  </si>
  <si>
    <t>Sub-Total (B)</t>
  </si>
  <si>
    <t>NET CURRENT ASSETS (C) = (A - B)</t>
  </si>
  <si>
    <t>Premium from direct business written net of Service Tax</t>
  </si>
  <si>
    <t>Direct claims</t>
  </si>
  <si>
    <t>Direct*</t>
  </si>
  <si>
    <t>Add - Reinsurance accepted</t>
  </si>
  <si>
    <t>Less - Commission on Reinsurance ceded</t>
  </si>
  <si>
    <t>NET COMMISSION</t>
  </si>
  <si>
    <t>(a) as auditor</t>
  </si>
  <si>
    <t>(b) as adviser or in any other capacity, in respect of</t>
  </si>
  <si>
    <t xml:space="preserve">                (i) Taxation matters</t>
  </si>
  <si>
    <t xml:space="preserve">               (ii) Insurance matters</t>
  </si>
  <si>
    <t>(c) in any other capacity</t>
  </si>
  <si>
    <t>Depreciation</t>
  </si>
  <si>
    <t>Service Tax Expenses / GST Expenses</t>
  </si>
  <si>
    <t>Capital Reserve</t>
  </si>
  <si>
    <t>Capital Redemption Reserve</t>
  </si>
  <si>
    <t>General Reserves</t>
  </si>
  <si>
    <t>Catastrophe Reserve</t>
  </si>
  <si>
    <t>Balance of Profit in Profit &amp; Loss Account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</si>
  <si>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</si>
  <si>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</si>
  <si>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</si>
  <si>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</si>
  <si>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</si>
  <si>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</si>
  <si>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</si>
  <si>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</si>
  <si>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</si>
  <si>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Investments in Infrastructure and Social Sector</t>
  </si>
  <si>
    <t>SHORT TERM INVESTMENTS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</si>
  <si>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</si>
  <si>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</si>
  <si>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</si>
  <si>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</si>
  <si>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</si>
  <si>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</si>
  <si>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</si>
  <si>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</si>
  <si>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</si>
  <si>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</si>
  <si>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</si>
  <si>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</si>
  <si>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</si>
  <si>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</si>
  <si>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</si>
  <si>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</si>
  <si>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</si>
  <si>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</si>
  <si>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</si>
  <si>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</si>
  <si>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</si>
  <si>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</si>
  <si>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</si>
  <si>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Furniture &amp; Fittings</t>
  </si>
  <si>
    <t>Office Equipments</t>
  </si>
  <si>
    <t>Electrical Equipments</t>
  </si>
  <si>
    <t>Capital Work in progress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</si>
  <si>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</si>
  <si>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</si>
  <si>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</si>
  <si>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</si>
  <si>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</si>
  <si>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</si>
  <si>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</si>
  <si>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Money at Call and Short Notice</t>
  </si>
  <si>
    <t>(a) With Banks</t>
  </si>
  <si>
    <t>(b) With other Institutions</t>
  </si>
  <si>
    <t>ADVANCES</t>
  </si>
  <si>
    <t>Reserve deposits with ceding companies</t>
  </si>
  <si>
    <t>Prepayments</t>
  </si>
  <si>
    <t>Advances to  Directors/Officers</t>
  </si>
  <si>
    <t>Advance tax paid and taxes deducted at source (Net of provision for taxation)</t>
  </si>
  <si>
    <t>OTHER ASSETS</t>
  </si>
  <si>
    <t>Income accrued on investments</t>
  </si>
  <si>
    <t>Outstanding Premiums</t>
  </si>
  <si>
    <t>Agents’ Balances</t>
  </si>
  <si>
    <t>Foreign Agencies Balances</t>
  </si>
  <si>
    <t>Due from other entities carrying on insurance business (including reinsurers)</t>
  </si>
  <si>
    <t>Due from subsidiaries/ holding</t>
  </si>
  <si>
    <t>Fixed Deposit - Unclaimed Amount of Policyholders</t>
  </si>
  <si>
    <t>TOTAL (A+B)</t>
  </si>
  <si>
    <t>Balances due to other insurance companies</t>
  </si>
  <si>
    <t>Deposits held on re-insurance ceded</t>
  </si>
  <si>
    <t>Premiums received in advance</t>
  </si>
  <si>
    <t>Sundry creditors</t>
  </si>
  <si>
    <t>Unclaimed amount of Policyholders</t>
  </si>
  <si>
    <t>Unallocated Premium</t>
  </si>
  <si>
    <t>Gross NPA Ratio</t>
  </si>
  <si>
    <t>Net NPA Ratio</t>
  </si>
  <si>
    <t>FIRE</t>
  </si>
  <si>
    <t>ENGINEERING</t>
  </si>
  <si>
    <t>PERSONAL ACCIDENT</t>
  </si>
  <si>
    <t>Other Income</t>
  </si>
  <si>
    <t>Contribution to Solatium Fund</t>
  </si>
  <si>
    <t>New India</t>
  </si>
  <si>
    <t>Oriental</t>
  </si>
  <si>
    <t>NL-2 Profit and Loss Account</t>
  </si>
  <si>
    <t>Less: Loss on sale of investments</t>
  </si>
  <si>
    <t>PROFIT / (LOSS) BEFORE TAX (A-B)</t>
  </si>
  <si>
    <t>NL-3 Balance Sheet as at 31 Dec 2018</t>
  </si>
  <si>
    <t>Share Capital</t>
  </si>
  <si>
    <t>Share Application Money Pending Allotment</t>
  </si>
  <si>
    <t>Reserves and Surplus</t>
  </si>
  <si>
    <t>Borrowings</t>
  </si>
  <si>
    <t>Investments- Shareholders Funds</t>
  </si>
  <si>
    <t>Investments- Policyholders Funds</t>
  </si>
  <si>
    <t>Loans</t>
  </si>
  <si>
    <t>Fixed Assets</t>
  </si>
  <si>
    <t>Deferred Tax Assets</t>
  </si>
  <si>
    <t>Current Assets</t>
  </si>
  <si>
    <t>Current Liabilities</t>
  </si>
  <si>
    <t>Provisions</t>
  </si>
  <si>
    <t>Miscellaneous Expenditure (to the extent not written off or adjusted)</t>
  </si>
  <si>
    <t>Total Investments</t>
  </si>
  <si>
    <t>Debit Balance in Profit and Loss Account</t>
  </si>
  <si>
    <t>-</t>
  </si>
  <si>
    <t>MARINE</t>
  </si>
  <si>
    <t>MOTOR</t>
  </si>
  <si>
    <t>HEALTH</t>
  </si>
  <si>
    <t>OTHER MISCELLANEOUS</t>
  </si>
  <si>
    <t>Others</t>
  </si>
  <si>
    <t>NL-10 Reserves and Surplus as at 31 Dec 2018</t>
  </si>
  <si>
    <t>Less: Amount utilized for Buy-back</t>
  </si>
  <si>
    <t>Other Reserves</t>
  </si>
  <si>
    <t>Other than Approved Investments</t>
  </si>
  <si>
    <t>TOTAL LONG TERM INVESTMENTS</t>
  </si>
  <si>
    <t>TOTAL SHORT TERM INVESTMENTS</t>
  </si>
  <si>
    <t>SHAREHOLDERS</t>
  </si>
  <si>
    <t>POLICYHOLDERS</t>
  </si>
  <si>
    <t>IT Equipments</t>
  </si>
  <si>
    <t>Motor Cars/Vehicles</t>
  </si>
  <si>
    <t>(c) Cheque in Hand</t>
  </si>
  <si>
    <t>(d) Others</t>
  </si>
  <si>
    <t>NL-16 Advances and Other Assets as at 31 Dec 2018</t>
  </si>
  <si>
    <t>NL-14 Fixed Assets. Net Block as at 31 Dec 2018</t>
  </si>
  <si>
    <t>NL-13 Loans as at 31 Dec 2018</t>
  </si>
  <si>
    <t>NL-12 Investments as at 31 Dec 2018</t>
  </si>
  <si>
    <t>NL-6 Commission</t>
  </si>
  <si>
    <t>NL-5 Claims</t>
  </si>
  <si>
    <t xml:space="preserve">NL-4 Premium </t>
  </si>
  <si>
    <t>Unsettled investment contract receivable</t>
  </si>
  <si>
    <t>Unutilised GST credit / Service Tax Credit</t>
  </si>
  <si>
    <t>Deposits for Premises, Telephone etc.</t>
  </si>
  <si>
    <t>Gratuity (excess of plan assets over obligation)</t>
  </si>
  <si>
    <t>Due to subsidiaries/ holding company</t>
  </si>
  <si>
    <t>Due to Directors/Officers</t>
  </si>
  <si>
    <t>Net Premium</t>
  </si>
  <si>
    <t>NL-30 Analytical Ratios</t>
  </si>
  <si>
    <t>Gross Premium Growth Rate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</si>
  <si>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</si>
  <si>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</si>
  <si>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</si>
  <si>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</si>
  <si>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</si>
  <si>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</si>
  <si>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</si>
  <si>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</si>
  <si>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</si>
  <si>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</si>
  <si>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</si>
  <si>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</si>
  <si>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</si>
  <si>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</si>
  <si>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LIABILITY</t>
  </si>
  <si>
    <t>Other Expenses</t>
  </si>
  <si>
    <t>Deposit towards Rent</t>
  </si>
  <si>
    <t>GST input balance recoverable</t>
  </si>
  <si>
    <t>Deposit Others</t>
  </si>
  <si>
    <t>Advances to vendors</t>
  </si>
  <si>
    <t>Fair Value Change Account</t>
  </si>
  <si>
    <t>(c) Accretion/(Amortisation) of Debt Securities</t>
  </si>
  <si>
    <t>Instangible Assets under development</t>
  </si>
  <si>
    <t>Other advances</t>
  </si>
  <si>
    <t>Rent and other deposits</t>
  </si>
  <si>
    <t>Service tax on input services (net)</t>
  </si>
  <si>
    <t>Unclaimed Investment account</t>
  </si>
  <si>
    <t>Other Recoverable</t>
  </si>
  <si>
    <t>Gross Direct Premium to Net Worth Ratio</t>
  </si>
  <si>
    <t>Interest on unclaimed amount of policyholders</t>
  </si>
  <si>
    <t xml:space="preserve">Claims Outstanding </t>
  </si>
  <si>
    <t xml:space="preserve">Unclaimed amount pertaining to Policyholders </t>
  </si>
  <si>
    <t xml:space="preserve">Interest on Unclaimed amount pertaining to Policyholders </t>
  </si>
  <si>
    <t>Other Deposits</t>
  </si>
  <si>
    <t>Receivable from Terrorism Pool</t>
  </si>
  <si>
    <t>Receivable from Nuclear Pool</t>
  </si>
  <si>
    <t>Net GST input credit / GST paid in advance</t>
  </si>
  <si>
    <t>Contracts for Sales - Investment</t>
  </si>
  <si>
    <t>(d) Amortization of Discount / (Premium)</t>
  </si>
  <si>
    <t>Deferred Tax Liability</t>
  </si>
  <si>
    <t>(c) Others</t>
  </si>
  <si>
    <t xml:space="preserve">Buildings </t>
  </si>
  <si>
    <t>Sundry Advances</t>
  </si>
  <si>
    <t>Addition during the year - Balance Transferred From P &amp; L Account</t>
  </si>
  <si>
    <t>Add: Dividend and dividend Distribution tax</t>
  </si>
  <si>
    <t>Add: Issue of Bonus shares</t>
  </si>
  <si>
    <t>Other Assets</t>
  </si>
  <si>
    <t>NL-15 Cash and Bank Balance
as at 31 Dec 2018</t>
  </si>
  <si>
    <t>NL-17 Current Liabilities
as at 31 Dec 2018</t>
  </si>
  <si>
    <t xml:space="preserve">OTHER EXPENSES </t>
  </si>
  <si>
    <t>Premium Earned (Net)</t>
  </si>
  <si>
    <t>Net Claims Incurred</t>
  </si>
  <si>
    <t>Printing and stationery</t>
  </si>
  <si>
    <t>Communication</t>
  </si>
  <si>
    <t>Legal and Professional Charges</t>
  </si>
  <si>
    <t>Auditors fees, expenses etc.</t>
  </si>
  <si>
    <t>Advertisement and publicity</t>
  </si>
  <si>
    <t>Interest and bank charges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</si>
  <si>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</si>
  <si>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</si>
  <si>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</si>
  <si>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</si>
  <si>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</si>
  <si>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Investment Receivable</t>
  </si>
  <si>
    <t>Share/Security Premium</t>
  </si>
  <si>
    <t>Sundry Deposits</t>
  </si>
  <si>
    <t>Unclaimed Amount of Policyholders (Investments/Assets held)</t>
  </si>
  <si>
    <t>(d) out of pocket expenses</t>
  </si>
  <si>
    <t>Liberty General</t>
  </si>
  <si>
    <t>NL-7 Operating Expenses</t>
  </si>
  <si>
    <t>For Q3 2018-19</t>
  </si>
  <si>
    <t>Upto 9 months 2018-19</t>
  </si>
  <si>
    <t>(d) Other securities (Bank deposits)</t>
  </si>
  <si>
    <t>(e) Non convertible debenture/bonds</t>
  </si>
  <si>
    <t>(f) Subsidiaries</t>
  </si>
  <si>
    <t>(g) Investment properties - Real Estate</t>
  </si>
  <si>
    <t>(c) Derivative Instruments</t>
  </si>
  <si>
    <t>(d) Debentures/ Bonds</t>
  </si>
  <si>
    <t>(f) Other securities</t>
  </si>
  <si>
    <t>(g) Fixed Deposit with Bank</t>
  </si>
  <si>
    <t>(d) Non convertible debentures/bonds</t>
  </si>
  <si>
    <t>(e) Other securities (Bank deposits)</t>
  </si>
  <si>
    <t>(f) Fixed Deposit</t>
  </si>
  <si>
    <t>(d) Non cenvertible debenture/bonds</t>
  </si>
  <si>
    <t>(d) Non convertible debenture/bonds</t>
  </si>
  <si>
    <t xml:space="preserve">(e) Other securities </t>
  </si>
  <si>
    <t>(a) Advance recoverable</t>
  </si>
  <si>
    <t>(b) Advance to employees</t>
  </si>
  <si>
    <t>Industry Total</t>
  </si>
  <si>
    <t xml:space="preserve">              (iii) Management services</t>
  </si>
  <si>
    <t>AVIATION</t>
  </si>
  <si>
    <t>Gross Premium to shareholders' fund ratio</t>
  </si>
  <si>
    <t>Growth Rate of Net Worth</t>
  </si>
  <si>
    <t>Reinsurance Ratio</t>
  </si>
  <si>
    <t>Growth rate of shareholders' fund</t>
  </si>
  <si>
    <t>No.of Policies</t>
  </si>
  <si>
    <t>Premium</t>
  </si>
  <si>
    <t>Individual Agents</t>
  </si>
  <si>
    <t>Corporate Agents-Banks</t>
  </si>
  <si>
    <t>Corporate Agents -Others</t>
  </si>
  <si>
    <t>Brokers</t>
  </si>
  <si>
    <t>Micro Agents</t>
  </si>
  <si>
    <t>Referral (B)</t>
  </si>
  <si>
    <t>Grand Total (A+B)</t>
  </si>
  <si>
    <t>in Rs. Lakhs</t>
  </si>
  <si>
    <t>Direct Business</t>
  </si>
  <si>
    <t>Total (A)</t>
  </si>
  <si>
    <t>No. of Policies- in number only, Premium- in Rs. Lakhs</t>
  </si>
  <si>
    <t>NL-33 Solvency Margin KGII for the period ended 31 Dec 2018</t>
  </si>
  <si>
    <t xml:space="preserve">NL-40 Business Acquisition Through Different Channels </t>
  </si>
  <si>
    <t>Deduct:</t>
  </si>
  <si>
    <t>Liabilities (reserves as mentioned in Form HG)</t>
  </si>
  <si>
    <t>Other Liabilities (other liabilities in respect of Shareholders’ Fund as mentioned in Balance Sheet)</t>
  </si>
  <si>
    <t>Total Required Solvency Margin  [RSM]</t>
  </si>
  <si>
    <t>Solvency Ratio (Total ASM/Total RSM)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</si>
  <si>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</si>
  <si>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</si>
  <si>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</si>
  <si>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</si>
  <si>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Excess in Shareholders’ Funds</t>
  </si>
  <si>
    <t>Total Available Solvency Margin [ASM]</t>
  </si>
  <si>
    <t>Available Assets in Policyholders’ Funds</t>
  </si>
  <si>
    <t>Available Assets in Shareholders’ Funds</t>
  </si>
  <si>
    <t>No. of Claims only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</si>
  <si>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</si>
  <si>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</si>
  <si>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</si>
  <si>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</si>
  <si>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</si>
  <si>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</si>
  <si>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3 months to 6 months</t>
  </si>
  <si>
    <t>6 months to 1 year</t>
  </si>
  <si>
    <t>1 year and above</t>
  </si>
  <si>
    <t>NL-25 Quarterly Claims Data (for Q3)</t>
  </si>
  <si>
    <t>Less than 3 months</t>
  </si>
  <si>
    <t>3 year and above</t>
  </si>
  <si>
    <t>NL-23 Reinsurance Risk Concentration for the Quarter ending 31 Dec 2018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</si>
  <si>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</si>
  <si>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</si>
  <si>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</si>
  <si>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</si>
  <si>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</si>
  <si>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</si>
  <si>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Total</t>
  </si>
  <si>
    <t>No. of Reinsurers</t>
  </si>
  <si>
    <t>Premium ceded to reinsurers</t>
  </si>
  <si>
    <t>Proportional</t>
  </si>
  <si>
    <t>Non-Proportional</t>
  </si>
  <si>
    <t>Facultative</t>
  </si>
  <si>
    <t>Premium ceded to reinsurers/ Total reinsurance premium ceded (%)</t>
  </si>
  <si>
    <t xml:space="preserve">- </t>
  </si>
  <si>
    <t>No. of Domestic Reinsurance Placed with Indian Insurance Companies</t>
  </si>
  <si>
    <t>No. of Indian reinsurer other than GIC</t>
  </si>
  <si>
    <t>Domestic Capacity</t>
  </si>
  <si>
    <t xml:space="preserve"> </t>
  </si>
  <si>
    <t>Motor TP</t>
  </si>
  <si>
    <t>Non TP</t>
  </si>
  <si>
    <t>(e) Other securities</t>
  </si>
  <si>
    <t>(g) Fixed Deposit</t>
  </si>
  <si>
    <t>(h) Subsidiaries</t>
  </si>
  <si>
    <t>Unutilised Service Tax</t>
  </si>
  <si>
    <t>MAT Credit Entitlement</t>
  </si>
  <si>
    <t xml:space="preserve">Interest accrued </t>
  </si>
  <si>
    <t>Leasehold</t>
  </si>
  <si>
    <t>Foreign Currency Translation Reserve</t>
  </si>
  <si>
    <t>Exchange Loss</t>
  </si>
  <si>
    <t>Provision for diminution in the value of Investments, amortisation of Premium on investments, an amount written off in respect of depreciated investments</t>
  </si>
  <si>
    <t>(h) Auto Ancillary and Venture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</si>
</sst>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wrapText="1"/>
    </xf>
    <xf numFmtId="1" fontId="4" fillId="0" borderId="0" xfId="0" applyNumberFormat="1" applyFont="1" applyAlignment="1">
      <alignment wrapText="1"/>
    </xf>
    <xf numFmtId="1" fontId="3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 applyFont="1"/>
    <xf numFmtId="1" fontId="0" fillId="0" borderId="0" xfId="0" applyNumberFormat="1" applyBorder="1"/>
    <xf numFmtId="1" fontId="0" fillId="0" borderId="0" xfId="0" applyNumberFormat="1" applyFont="1" applyBorder="1"/>
    <xf numFmtId="1" fontId="4" fillId="0" borderId="0" xfId="0" applyNumberFormat="1" applyFont="1"/>
    <xf numFmtId="1" fontId="10" fillId="0" borderId="0" xfId="0" applyNumberFormat="1" applyFont="1"/>
    <xf numFmtId="1" fontId="8" fillId="0" borderId="0" xfId="0" applyNumberFormat="1" applyFont="1"/>
    <xf numFmtId="1" fontId="6" fillId="0" borderId="0" xfId="0" applyNumberFormat="1" applyFont="1" applyFill="1" applyBorder="1" applyAlignment="1">
      <alignment horizontal="right" vertical="top" shrinkToFit="1"/>
    </xf>
    <xf numFmtId="1" fontId="9" fillId="0" borderId="0" xfId="0" applyNumberFormat="1" applyFont="1"/>
    <xf numFmtId="1" fontId="6" fillId="0" borderId="0" xfId="0" applyNumberFormat="1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right" vertical="top" shrinkToFit="1"/>
    </xf>
    <xf numFmtId="1" fontId="0" fillId="0" borderId="1" xfId="0" applyNumberFormat="1" applyBorder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wrapText="1"/>
    </xf>
    <xf numFmtId="1" fontId="8" fillId="0" borderId="1" xfId="0" applyNumberFormat="1" applyFont="1" applyBorder="1"/>
    <xf numFmtId="1" fontId="0" fillId="0" borderId="1" xfId="0" applyNumberFormat="1" applyBorder="1" applyAlignment="1">
      <alignment wrapText="1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left" wrapText="1"/>
    </xf>
    <xf numFmtId="1" fontId="12" fillId="0" borderId="0" xfId="0" applyNumberFormat="1" applyFont="1" applyAlignment="1">
      <alignment wrapText="1"/>
    </xf>
    <xf numFmtId="1" fontId="0" fillId="0" borderId="1" xfId="0" applyNumberFormat="1" applyFill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" fontId="6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left" vertical="top"/>
    </xf>
    <xf numFmtId="1" fontId="12" fillId="0" borderId="0" xfId="0" applyNumberFormat="1" applyFont="1"/>
    <xf numFmtId="1" fontId="1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/>
    <xf numFmtId="1" fontId="7" fillId="0" borderId="1" xfId="0" applyNumberFormat="1" applyFont="1" applyBorder="1"/>
    <xf numFmtId="1" fontId="7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vertical="top"/>
    </xf>
    <xf numFmtId="1" fontId="3" fillId="0" borderId="1" xfId="0" applyNumberFormat="1" applyFont="1" applyBorder="1"/>
    <xf numFmtId="1" fontId="13" fillId="0" borderId="0" xfId="0" applyNumberFormat="1" applyFont="1"/>
    <xf numFmtId="1" fontId="13" fillId="0" borderId="1" xfId="0" applyNumberFormat="1" applyFont="1" applyBorder="1"/>
    <xf numFmtId="1" fontId="0" fillId="0" borderId="1" xfId="2" applyNumberFormat="1" applyFont="1" applyBorder="1"/>
    <xf numFmtId="1" fontId="6" fillId="0" borderId="1" xfId="0" applyNumberFormat="1" applyFont="1" applyFill="1" applyBorder="1" applyAlignment="1">
      <alignment horizontal="right" vertical="top" shrinkToFit="1"/>
    </xf>
    <xf numFmtId="1" fontId="7" fillId="0" borderId="1" xfId="0" applyNumberFormat="1" applyFont="1" applyFill="1" applyBorder="1" applyAlignment="1">
      <alignment horizontal="right" vertical="top" wrapText="1" indent="2"/>
    </xf>
    <xf numFmtId="1" fontId="8" fillId="0" borderId="1" xfId="0" applyNumberFormat="1" applyFont="1" applyFill="1" applyBorder="1" applyAlignment="1">
      <alignment horizontal="right" vertical="top" shrinkToFit="1"/>
    </xf>
    <xf numFmtId="9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0" fillId="0" borderId="1" xfId="0" applyFill="1" applyBorder="1"/>
    <xf numFmtId="1" fontId="5" fillId="0" borderId="1" xfId="0" applyNumberFormat="1" applyFont="1" applyBorder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1" fontId="8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wrapText="1"/>
    </xf>
    <xf numFmtId="1" fontId="13" fillId="0" borderId="1" xfId="0" applyNumberFormat="1" applyFont="1" applyBorder="1" applyAlignment="1">
      <alignment wrapText="1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1" fontId="0" fillId="0" borderId="0" xfId="0" applyNumberForma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0" fillId="0" borderId="0" xfId="0" applyBorder="1" applyAlignment="1">
      <alignment horizontal="left" vertical="top"/>
    </xf>
    <xf numFmtId="1" fontId="4" fillId="0" borderId="0" xfId="0" applyNumberFormat="1" applyFont="1" applyBorder="1"/>
    <xf numFmtId="1" fontId="12" fillId="0" borderId="0" xfId="0" applyNumberFormat="1" applyFont="1" applyAlignment="1"/>
    <xf numFmtId="1" fontId="8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wrapText="1"/>
    </xf>
    <xf numFmtId="2" fontId="8" fillId="0" borderId="0" xfId="0" applyNumberFormat="1" applyFont="1"/>
    <xf numFmtId="1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9" fontId="8" fillId="0" borderId="1" xfId="0" applyNumberFormat="1" applyFont="1" applyBorder="1"/>
    <xf numFmtId="10" fontId="8" fillId="0" borderId="1" xfId="0" applyNumberFormat="1" applyFont="1" applyBorder="1"/>
    <xf numFmtId="2" fontId="12" fillId="0" borderId="0" xfId="0" applyNumberFormat="1" applyFont="1"/>
    <xf numFmtId="2" fontId="0" fillId="0" borderId="0" xfId="0" applyNumberFormat="1"/>
    <xf numFmtId="2" fontId="8" fillId="0" borderId="1" xfId="0" applyNumberFormat="1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vertical="center" wrapText="1"/>
    </xf>
    <xf numFmtId="0" fontId="0" fillId="0" borderId="0" xfId="0" applyNumberFormat="1"/>
    <xf numFmtId="10" fontId="0" fillId="0" borderId="0" xfId="1" applyNumberFormat="1" applyFont="1"/>
    <xf numFmtId="2" fontId="1" fillId="0" borderId="1" xfId="0" applyNumberFormat="1" applyFont="1" applyBorder="1" applyAlignment="1">
      <alignment vertical="center" wrapText="1"/>
    </xf>
    <xf numFmtId="10" fontId="0" fillId="0" borderId="1" xfId="1" applyNumberFormat="1" applyFont="1" applyBorder="1"/>
    <xf numFmtId="9" fontId="0" fillId="0" borderId="1" xfId="1" applyFont="1" applyBorder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2" fontId="1" fillId="0" borderId="0" xfId="0" applyNumberFormat="1" applyFon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Fill="1"/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1" style="6" customWidth="1"/>
    <col min="2" max="69" width="14.140625" style="4" customWidth="1"/>
    <col min="70" max="16384" width="9.140625" style="4"/>
  </cols>
  <sheetData>
    <row r="1" spans="1:69" s="17" customFormat="1" ht="18.75" x14ac:dyDescent="0.3">
      <c r="A1" s="28" t="s">
        <v>42</v>
      </c>
    </row>
    <row r="2" spans="1:69" x14ac:dyDescent="0.25">
      <c r="A2" s="6" t="s">
        <v>43</v>
      </c>
    </row>
    <row r="3" spans="1:69" s="15" customFormat="1" x14ac:dyDescent="0.25">
      <c r="A3" s="23" t="s">
        <v>0</v>
      </c>
      <c r="B3" s="110" t="s">
        <v>1</v>
      </c>
      <c r="C3" s="110"/>
      <c r="D3" s="110" t="s">
        <v>2</v>
      </c>
      <c r="E3" s="110"/>
      <c r="F3" s="110" t="s">
        <v>3</v>
      </c>
      <c r="G3" s="110"/>
      <c r="H3" s="110" t="s">
        <v>4</v>
      </c>
      <c r="I3" s="110"/>
      <c r="J3" s="110" t="s">
        <v>5</v>
      </c>
      <c r="K3" s="110"/>
      <c r="L3" s="110" t="s">
        <v>6</v>
      </c>
      <c r="M3" s="110"/>
      <c r="N3" s="110" t="s">
        <v>7</v>
      </c>
      <c r="O3" s="110"/>
      <c r="P3" s="110" t="s">
        <v>8</v>
      </c>
      <c r="Q3" s="110"/>
      <c r="R3" s="110" t="s">
        <v>9</v>
      </c>
      <c r="S3" s="110"/>
      <c r="T3" s="110" t="s">
        <v>10</v>
      </c>
      <c r="U3" s="110"/>
      <c r="V3" s="110" t="s">
        <v>11</v>
      </c>
      <c r="W3" s="110"/>
      <c r="X3" s="110" t="s">
        <v>12</v>
      </c>
      <c r="Y3" s="110"/>
      <c r="Z3" s="110" t="s">
        <v>13</v>
      </c>
      <c r="AA3" s="110"/>
      <c r="AB3" s="110" t="s">
        <v>14</v>
      </c>
      <c r="AC3" s="110"/>
      <c r="AD3" s="110" t="s">
        <v>15</v>
      </c>
      <c r="AE3" s="110"/>
      <c r="AF3" s="110" t="s">
        <v>16</v>
      </c>
      <c r="AG3" s="110"/>
      <c r="AH3" s="110" t="s">
        <v>17</v>
      </c>
      <c r="AI3" s="110"/>
      <c r="AJ3" s="110" t="s">
        <v>18</v>
      </c>
      <c r="AK3" s="110"/>
      <c r="AL3" s="110" t="s">
        <v>19</v>
      </c>
      <c r="AM3" s="110"/>
      <c r="AN3" s="110" t="s">
        <v>20</v>
      </c>
      <c r="AO3" s="110"/>
      <c r="AP3" s="110" t="s">
        <v>21</v>
      </c>
      <c r="AQ3" s="110"/>
      <c r="AR3" s="110" t="s">
        <v>161</v>
      </c>
      <c r="AS3" s="110"/>
      <c r="AT3" s="110" t="s">
        <v>162</v>
      </c>
      <c r="AU3" s="110"/>
      <c r="AV3" s="110" t="s">
        <v>22</v>
      </c>
      <c r="AW3" s="110"/>
      <c r="AX3" s="110" t="s">
        <v>23</v>
      </c>
      <c r="AY3" s="110"/>
      <c r="AZ3" s="110" t="s">
        <v>24</v>
      </c>
      <c r="BA3" s="110"/>
      <c r="BB3" s="110" t="s">
        <v>25</v>
      </c>
      <c r="BC3" s="110"/>
      <c r="BD3" s="110" t="s">
        <v>26</v>
      </c>
      <c r="BE3" s="110"/>
      <c r="BF3" s="110" t="s">
        <v>27</v>
      </c>
      <c r="BG3" s="110"/>
      <c r="BH3" s="110" t="s">
        <v>28</v>
      </c>
      <c r="BI3" s="110"/>
      <c r="BJ3" s="110" t="s">
        <v>29</v>
      </c>
      <c r="BK3" s="110"/>
      <c r="BL3" s="110" t="s">
        <v>30</v>
      </c>
      <c r="BM3" s="110"/>
      <c r="BN3" s="110" t="s">
        <v>31</v>
      </c>
      <c r="BO3" s="110"/>
      <c r="BP3" s="110" t="s">
        <v>304</v>
      </c>
      <c r="BQ3" s="110"/>
    </row>
    <row r="4" spans="1:69" s="43" customFormat="1" ht="44.25" customHeight="1" x14ac:dyDescent="0.25">
      <c r="A4" s="44"/>
      <c r="B4" s="44" t="s">
        <v>286</v>
      </c>
      <c r="C4" s="44" t="s">
        <v>287</v>
      </c>
      <c r="D4" s="44" t="s">
        <v>286</v>
      </c>
      <c r="E4" s="44" t="s">
        <v>287</v>
      </c>
      <c r="F4" s="44" t="s">
        <v>286</v>
      </c>
      <c r="G4" s="44" t="s">
        <v>287</v>
      </c>
      <c r="H4" s="44" t="s">
        <v>286</v>
      </c>
      <c r="I4" s="44" t="s">
        <v>287</v>
      </c>
      <c r="J4" s="44" t="s">
        <v>286</v>
      </c>
      <c r="K4" s="44" t="s">
        <v>287</v>
      </c>
      <c r="L4" s="44" t="s">
        <v>286</v>
      </c>
      <c r="M4" s="44" t="s">
        <v>287</v>
      </c>
      <c r="N4" s="44" t="s">
        <v>286</v>
      </c>
      <c r="O4" s="44" t="s">
        <v>287</v>
      </c>
      <c r="P4" s="44" t="s">
        <v>286</v>
      </c>
      <c r="Q4" s="44" t="s">
        <v>287</v>
      </c>
      <c r="R4" s="44" t="s">
        <v>286</v>
      </c>
      <c r="S4" s="44" t="s">
        <v>287</v>
      </c>
      <c r="T4" s="44" t="s">
        <v>286</v>
      </c>
      <c r="U4" s="44" t="s">
        <v>287</v>
      </c>
      <c r="V4" s="44" t="s">
        <v>286</v>
      </c>
      <c r="W4" s="44" t="s">
        <v>287</v>
      </c>
      <c r="X4" s="44" t="s">
        <v>286</v>
      </c>
      <c r="Y4" s="44" t="s">
        <v>287</v>
      </c>
      <c r="Z4" s="44" t="s">
        <v>286</v>
      </c>
      <c r="AA4" s="44" t="s">
        <v>287</v>
      </c>
      <c r="AB4" s="44" t="s">
        <v>286</v>
      </c>
      <c r="AC4" s="44" t="s">
        <v>287</v>
      </c>
      <c r="AD4" s="44" t="s">
        <v>286</v>
      </c>
      <c r="AE4" s="44" t="s">
        <v>287</v>
      </c>
      <c r="AF4" s="44" t="s">
        <v>286</v>
      </c>
      <c r="AG4" s="44" t="s">
        <v>287</v>
      </c>
      <c r="AH4" s="44" t="s">
        <v>286</v>
      </c>
      <c r="AI4" s="44" t="s">
        <v>287</v>
      </c>
      <c r="AJ4" s="44" t="s">
        <v>286</v>
      </c>
      <c r="AK4" s="44" t="s">
        <v>287</v>
      </c>
      <c r="AL4" s="44" t="s">
        <v>286</v>
      </c>
      <c r="AM4" s="44" t="s">
        <v>287</v>
      </c>
      <c r="AN4" s="44" t="s">
        <v>286</v>
      </c>
      <c r="AO4" s="44" t="s">
        <v>287</v>
      </c>
      <c r="AP4" s="44" t="s">
        <v>286</v>
      </c>
      <c r="AQ4" s="44" t="s">
        <v>287</v>
      </c>
      <c r="AR4" s="44" t="s">
        <v>286</v>
      </c>
      <c r="AS4" s="44" t="s">
        <v>287</v>
      </c>
      <c r="AT4" s="44" t="s">
        <v>286</v>
      </c>
      <c r="AU4" s="44" t="s">
        <v>287</v>
      </c>
      <c r="AV4" s="44" t="s">
        <v>286</v>
      </c>
      <c r="AW4" s="44" t="s">
        <v>287</v>
      </c>
      <c r="AX4" s="44" t="s">
        <v>286</v>
      </c>
      <c r="AY4" s="44" t="s">
        <v>287</v>
      </c>
      <c r="AZ4" s="44" t="s">
        <v>286</v>
      </c>
      <c r="BA4" s="44" t="s">
        <v>287</v>
      </c>
      <c r="BB4" s="44" t="s">
        <v>286</v>
      </c>
      <c r="BC4" s="44" t="s">
        <v>287</v>
      </c>
      <c r="BD4" s="44" t="s">
        <v>286</v>
      </c>
      <c r="BE4" s="44" t="s">
        <v>287</v>
      </c>
      <c r="BF4" s="44" t="s">
        <v>286</v>
      </c>
      <c r="BG4" s="44" t="s">
        <v>287</v>
      </c>
      <c r="BH4" s="44" t="s">
        <v>286</v>
      </c>
      <c r="BI4" s="44" t="s">
        <v>287</v>
      </c>
      <c r="BJ4" s="44" t="s">
        <v>286</v>
      </c>
      <c r="BK4" s="44" t="s">
        <v>287</v>
      </c>
      <c r="BL4" s="44" t="s">
        <v>286</v>
      </c>
      <c r="BM4" s="44" t="s">
        <v>287</v>
      </c>
      <c r="BN4" s="44" t="s">
        <v>286</v>
      </c>
      <c r="BO4" s="44" t="s">
        <v>287</v>
      </c>
      <c r="BP4" s="44" t="s">
        <v>286</v>
      </c>
      <c r="BQ4" s="44" t="s">
        <v>287</v>
      </c>
    </row>
    <row r="5" spans="1:69" x14ac:dyDescent="0.25">
      <c r="A5" s="25" t="s">
        <v>32</v>
      </c>
      <c r="B5" s="21">
        <v>124286</v>
      </c>
      <c r="C5" s="21">
        <v>230447</v>
      </c>
      <c r="D5" s="21">
        <v>1010683</v>
      </c>
      <c r="E5" s="21">
        <v>2298616</v>
      </c>
      <c r="F5" s="21">
        <v>955713</v>
      </c>
      <c r="G5" s="21">
        <v>13917176</v>
      </c>
      <c r="H5" s="21">
        <v>4159454</v>
      </c>
      <c r="I5" s="21">
        <v>9687998</v>
      </c>
      <c r="J5" s="21">
        <v>18008974</v>
      </c>
      <c r="K5" s="21">
        <v>50924081</v>
      </c>
      <c r="L5" s="21">
        <v>3773105</v>
      </c>
      <c r="M5" s="21">
        <v>10314837</v>
      </c>
      <c r="N5" s="21">
        <f>44254+203114+7447349</f>
        <v>7694717</v>
      </c>
      <c r="O5" s="21">
        <v>22599094</v>
      </c>
      <c r="P5" s="21">
        <v>983933</v>
      </c>
      <c r="Q5" s="21">
        <v>2778345</v>
      </c>
      <c r="R5" s="21">
        <v>167160</v>
      </c>
      <c r="S5" s="21">
        <v>827271</v>
      </c>
      <c r="T5" s="21">
        <v>83232</v>
      </c>
      <c r="U5" s="21">
        <v>118643</v>
      </c>
      <c r="V5" s="21">
        <v>2306374</v>
      </c>
      <c r="W5" s="21">
        <v>5913372.6100000003</v>
      </c>
      <c r="X5" s="21">
        <v>3934219</v>
      </c>
      <c r="Y5" s="21">
        <v>11430904</v>
      </c>
      <c r="Z5" s="21">
        <v>1286792</v>
      </c>
      <c r="AA5" s="21">
        <v>2267023</v>
      </c>
      <c r="AB5" s="21">
        <v>11102824</v>
      </c>
      <c r="AC5" s="21">
        <v>28368204</v>
      </c>
      <c r="AD5" s="21">
        <v>21109695</v>
      </c>
      <c r="AE5" s="21">
        <v>61778782</v>
      </c>
      <c r="AF5" s="21">
        <v>11066366</v>
      </c>
      <c r="AG5" s="21">
        <v>30390879</v>
      </c>
      <c r="AH5" s="21">
        <v>525605</v>
      </c>
      <c r="AI5" s="21">
        <v>1390325</v>
      </c>
      <c r="AJ5" s="21">
        <v>2106601</v>
      </c>
      <c r="AK5" s="21">
        <v>5712297</v>
      </c>
      <c r="AL5" s="21">
        <v>1336282</v>
      </c>
      <c r="AM5" s="21">
        <v>1967290</v>
      </c>
      <c r="AN5" s="21">
        <v>1522569</v>
      </c>
      <c r="AO5" s="21">
        <v>4304888</v>
      </c>
      <c r="AP5" s="21">
        <v>21511006.169962402</v>
      </c>
      <c r="AQ5" s="21">
        <v>74600281.221411198</v>
      </c>
      <c r="AR5" s="21">
        <v>55030680</v>
      </c>
      <c r="AS5" s="21">
        <v>158757209</v>
      </c>
      <c r="AT5" s="21">
        <f>540188+1202221+22476320</f>
        <v>24218729</v>
      </c>
      <c r="AU5" s="21">
        <f>1626343+4687842+68484571</f>
        <v>74798756</v>
      </c>
      <c r="AV5" s="21">
        <v>229989</v>
      </c>
      <c r="AW5" s="21">
        <v>645413</v>
      </c>
      <c r="AX5" s="21">
        <v>9697110</v>
      </c>
      <c r="AY5" s="21">
        <v>25601120</v>
      </c>
      <c r="AZ5" s="21">
        <v>3036622</v>
      </c>
      <c r="BA5" s="21">
        <v>7720062</v>
      </c>
      <c r="BB5" s="21">
        <v>5728818</v>
      </c>
      <c r="BC5" s="21">
        <v>16329259</v>
      </c>
      <c r="BD5" s="21">
        <v>6470875</v>
      </c>
      <c r="BE5" s="21">
        <v>17951449</v>
      </c>
      <c r="BF5" s="21">
        <v>5280109</v>
      </c>
      <c r="BG5" s="21">
        <v>15320836</v>
      </c>
      <c r="BH5" s="21">
        <v>8331707</v>
      </c>
      <c r="BI5" s="21">
        <v>22130036</v>
      </c>
      <c r="BJ5" s="21">
        <v>13677077</v>
      </c>
      <c r="BK5" s="21">
        <v>33204974</v>
      </c>
      <c r="BL5" s="21">
        <v>28718944</v>
      </c>
      <c r="BM5" s="21">
        <v>90062386</v>
      </c>
      <c r="BN5" s="21">
        <v>4513626</v>
      </c>
      <c r="BO5" s="21">
        <v>9451913</v>
      </c>
      <c r="BP5" s="21">
        <f t="shared" ref="BP5:BP6" si="0">B5+D5+F5+H5+J5+L5+N5+P5+R5+T5+V5+X5+Z5+AB5+AD5+AF5+AH5+AJ5+AL5+AN5+AP5+AR5+AT5+AV5+AX5+AZ5+BB5+BD5+BF5+BH5+BJ5+BL5+BN5</f>
        <v>279703876.16996241</v>
      </c>
      <c r="BQ5" s="21">
        <f t="shared" ref="BQ5:BQ6" si="1">C5+E5+G5+I5+K5+M5+O5+Q5+S5+U5+W5+Y5+AA5+AC5+AE5+AG5+AI5+AK5+AM5+AO5+AQ5+AS5+AU5+AW5+AY5+BA5+BC5+BE5+BG5+BI5+BK5+BM5+BO5</f>
        <v>813794166.83141124</v>
      </c>
    </row>
    <row r="6" spans="1:69" ht="30" x14ac:dyDescent="0.25">
      <c r="A6" s="25" t="s">
        <v>33</v>
      </c>
      <c r="B6" s="21">
        <v>1748</v>
      </c>
      <c r="C6" s="21">
        <v>1775</v>
      </c>
      <c r="D6" s="21">
        <v>6464</v>
      </c>
      <c r="E6" s="21">
        <v>10652</v>
      </c>
      <c r="F6" s="21">
        <v>608</v>
      </c>
      <c r="G6" s="21">
        <v>2649</v>
      </c>
      <c r="H6" s="21">
        <v>21523</v>
      </c>
      <c r="I6" s="21">
        <v>43217</v>
      </c>
      <c r="J6" s="21">
        <v>102494</v>
      </c>
      <c r="K6" s="21">
        <v>773842</v>
      </c>
      <c r="L6" s="21">
        <v>65108</v>
      </c>
      <c r="M6" s="21">
        <v>113852</v>
      </c>
      <c r="N6" s="21">
        <f>161+-735+47478</f>
        <v>46904</v>
      </c>
      <c r="O6" s="21">
        <v>165638</v>
      </c>
      <c r="P6" s="21">
        <v>2734</v>
      </c>
      <c r="Q6" s="21">
        <v>8746</v>
      </c>
      <c r="R6" s="21">
        <v>3846</v>
      </c>
      <c r="S6" s="21">
        <v>9694</v>
      </c>
      <c r="T6" s="21">
        <v>607</v>
      </c>
      <c r="U6" s="21">
        <v>-3448</v>
      </c>
      <c r="V6" s="21"/>
      <c r="W6" s="21">
        <v>380226.04</v>
      </c>
      <c r="X6" s="21">
        <v>11212</v>
      </c>
      <c r="Y6" s="21">
        <v>48194</v>
      </c>
      <c r="Z6" s="21">
        <v>9828</v>
      </c>
      <c r="AA6" s="21">
        <v>5916</v>
      </c>
      <c r="AB6" s="21">
        <v>230244</v>
      </c>
      <c r="AC6" s="21">
        <v>451218</v>
      </c>
      <c r="AD6" s="21">
        <v>383302</v>
      </c>
      <c r="AE6" s="21">
        <v>2752465</v>
      </c>
      <c r="AF6" s="21">
        <v>26477</v>
      </c>
      <c r="AG6" s="21">
        <v>96327</v>
      </c>
      <c r="AH6" s="21">
        <v>3662</v>
      </c>
      <c r="AI6" s="21">
        <v>6066</v>
      </c>
      <c r="AJ6" s="21">
        <v>6691</v>
      </c>
      <c r="AK6" s="21">
        <v>14162</v>
      </c>
      <c r="AL6" s="21">
        <v>13272</v>
      </c>
      <c r="AM6" s="21">
        <v>39863</v>
      </c>
      <c r="AN6" s="21">
        <v>8547</v>
      </c>
      <c r="AO6" s="21">
        <v>18040</v>
      </c>
      <c r="AP6" s="21">
        <v>3301357</v>
      </c>
      <c r="AQ6" s="21">
        <v>8882110</v>
      </c>
      <c r="AR6" s="21">
        <v>4005642</v>
      </c>
      <c r="AS6" s="21">
        <v>12926790</v>
      </c>
      <c r="AT6" s="21">
        <f>80487+240048+2722979</f>
        <v>3043514</v>
      </c>
      <c r="AU6" s="21">
        <f>289779+864252+9803627</f>
        <v>10957658</v>
      </c>
      <c r="AV6" s="21">
        <v>1276</v>
      </c>
      <c r="AW6" s="21">
        <v>5349</v>
      </c>
      <c r="AX6" s="21">
        <v>83309</v>
      </c>
      <c r="AY6" s="21">
        <v>198234</v>
      </c>
      <c r="AZ6" s="21">
        <v>13353</v>
      </c>
      <c r="BA6" s="21">
        <v>27786</v>
      </c>
      <c r="BB6" s="21">
        <v>24165</v>
      </c>
      <c r="BC6" s="21">
        <v>150338</v>
      </c>
      <c r="BD6" s="21">
        <v>71031</v>
      </c>
      <c r="BE6" s="21">
        <v>200508</v>
      </c>
      <c r="BF6" s="21"/>
      <c r="BG6" s="21">
        <v>448263</v>
      </c>
      <c r="BH6" s="21">
        <v>-288</v>
      </c>
      <c r="BI6" s="21">
        <v>5182</v>
      </c>
      <c r="BJ6" s="21">
        <v>64457</v>
      </c>
      <c r="BK6" s="21">
        <v>491947</v>
      </c>
      <c r="BL6" s="21">
        <v>3066760</v>
      </c>
      <c r="BM6" s="21">
        <v>8173347</v>
      </c>
      <c r="BN6" s="21">
        <v>-66047</v>
      </c>
      <c r="BO6" s="21">
        <v>-52637</v>
      </c>
      <c r="BP6" s="21">
        <f t="shared" si="0"/>
        <v>14553800</v>
      </c>
      <c r="BQ6" s="21">
        <f t="shared" si="1"/>
        <v>47353969.039999999</v>
      </c>
    </row>
    <row r="7" spans="1:69" x14ac:dyDescent="0.25">
      <c r="A7" s="25" t="s">
        <v>159</v>
      </c>
      <c r="B7" s="21"/>
      <c r="C7" s="21"/>
      <c r="D7" s="21">
        <v>-1762</v>
      </c>
      <c r="E7" s="21">
        <v>-5217</v>
      </c>
      <c r="F7" s="21">
        <v>22881</v>
      </c>
      <c r="G7" s="21">
        <v>161871</v>
      </c>
      <c r="H7" s="21">
        <v>16912</v>
      </c>
      <c r="I7" s="21">
        <v>32575</v>
      </c>
      <c r="J7" s="21">
        <v>-178699</v>
      </c>
      <c r="K7" s="21">
        <v>-237297</v>
      </c>
      <c r="L7" s="21">
        <v>6804</v>
      </c>
      <c r="M7" s="21">
        <v>25790</v>
      </c>
      <c r="N7" s="21">
        <f>138+14799+48+7425</f>
        <v>22410</v>
      </c>
      <c r="O7" s="21">
        <v>62808</v>
      </c>
      <c r="P7" s="21"/>
      <c r="Q7" s="21"/>
      <c r="R7" s="21"/>
      <c r="S7" s="21"/>
      <c r="T7" s="21">
        <v>262</v>
      </c>
      <c r="U7" s="21">
        <v>843</v>
      </c>
      <c r="V7" s="21">
        <v>4845</v>
      </c>
      <c r="W7" s="21">
        <v>17288</v>
      </c>
      <c r="X7" s="21">
        <v>540</v>
      </c>
      <c r="Y7" s="21">
        <v>1236</v>
      </c>
      <c r="Z7" s="21">
        <v>50</v>
      </c>
      <c r="AA7" s="21">
        <v>50</v>
      </c>
      <c r="AB7" s="21">
        <v>1810</v>
      </c>
      <c r="AC7" s="21">
        <v>-14025</v>
      </c>
      <c r="AD7" s="21">
        <v>34884</v>
      </c>
      <c r="AE7" s="21">
        <v>321039</v>
      </c>
      <c r="AF7" s="21">
        <v>1376</v>
      </c>
      <c r="AG7" s="21">
        <v>2447</v>
      </c>
      <c r="AH7" s="21">
        <v>30</v>
      </c>
      <c r="AI7" s="21">
        <v>76</v>
      </c>
      <c r="AJ7" s="21">
        <v>-12</v>
      </c>
      <c r="AK7" s="21"/>
      <c r="AL7" s="21">
        <v>2078</v>
      </c>
      <c r="AM7" s="21">
        <v>8055</v>
      </c>
      <c r="AN7" s="21">
        <v>10386</v>
      </c>
      <c r="AO7" s="21">
        <v>29020</v>
      </c>
      <c r="AP7" s="21"/>
      <c r="AQ7" s="21"/>
      <c r="AR7" s="21"/>
      <c r="AS7" s="21"/>
      <c r="AT7" s="21">
        <f>-9673-29491-317007</f>
        <v>-356171</v>
      </c>
      <c r="AU7" s="21">
        <f>-15495-37236-443004</f>
        <v>-495735</v>
      </c>
      <c r="AV7" s="21">
        <v>143</v>
      </c>
      <c r="AW7" s="21">
        <v>130</v>
      </c>
      <c r="AX7" s="21">
        <v>26328</v>
      </c>
      <c r="AY7" s="21">
        <v>899</v>
      </c>
      <c r="AZ7" s="21"/>
      <c r="BA7" s="21"/>
      <c r="BB7" s="21">
        <v>296</v>
      </c>
      <c r="BC7" s="21">
        <v>1735</v>
      </c>
      <c r="BD7" s="21">
        <v>-396319</v>
      </c>
      <c r="BE7" s="21">
        <v>-388503</v>
      </c>
      <c r="BF7" s="21">
        <v>5835</v>
      </c>
      <c r="BG7" s="21">
        <v>22541</v>
      </c>
      <c r="BH7" s="21"/>
      <c r="BI7" s="21"/>
      <c r="BJ7" s="21">
        <v>-23504</v>
      </c>
      <c r="BK7" s="21">
        <v>-38039</v>
      </c>
      <c r="BL7" s="21">
        <f>BL9-BL8-BL6-BL5</f>
        <v>3653</v>
      </c>
      <c r="BM7" s="21">
        <f>BM9-BM8-BM6-BM5</f>
        <v>10296</v>
      </c>
      <c r="BN7" s="21">
        <v>-5413</v>
      </c>
      <c r="BO7" s="21">
        <v>-16585</v>
      </c>
      <c r="BP7" s="21">
        <f>B7+D7+F7+H7+J7+L7+N7+P7+R7+T7+V7+X7+Z7+AB7+AD7+AF7+AH7+AJ7+AL7+AN7+AP7+AR7+AT7+AV7+AX7+AZ7+BB7+BD7+BF7+BH7+BJ7+BL7+BN7</f>
        <v>-800357</v>
      </c>
      <c r="BQ7" s="21">
        <f>C7+E7+G7+I7+K7+M7+O7+Q7+S7+U7+W7+Y7+AA7+AC7+AE7+AG7+AI7+AK7+AM7+AO7+AQ7+AS7+AU7+AW7+AY7+BA7+BC7+BE7+BG7+BI7+BK7+BM7+BO7</f>
        <v>-496702</v>
      </c>
    </row>
    <row r="8" spans="1:69" x14ac:dyDescent="0.25">
      <c r="A8" s="25" t="s">
        <v>34</v>
      </c>
      <c r="B8" s="21">
        <v>31401</v>
      </c>
      <c r="C8" s="21">
        <v>39263</v>
      </c>
      <c r="D8" s="21">
        <v>46972</v>
      </c>
      <c r="E8" s="45">
        <v>118533</v>
      </c>
      <c r="F8" s="21">
        <v>872517</v>
      </c>
      <c r="G8" s="21">
        <v>2571491</v>
      </c>
      <c r="H8" s="21">
        <v>166193</v>
      </c>
      <c r="I8" s="21">
        <v>564528</v>
      </c>
      <c r="J8" s="21">
        <v>2188372</v>
      </c>
      <c r="K8" s="21">
        <v>6261701</v>
      </c>
      <c r="L8" s="21">
        <v>617467</v>
      </c>
      <c r="M8" s="21">
        <v>1724650</v>
      </c>
      <c r="N8" s="21">
        <f>3911+-1648+1152760</f>
        <v>1155023</v>
      </c>
      <c r="O8" s="21">
        <v>3296807</v>
      </c>
      <c r="P8" s="21">
        <v>62369</v>
      </c>
      <c r="Q8" s="21">
        <v>171978</v>
      </c>
      <c r="R8" s="21">
        <v>22341</v>
      </c>
      <c r="S8" s="21">
        <v>60907</v>
      </c>
      <c r="T8" s="21">
        <v>2477</v>
      </c>
      <c r="U8" s="21">
        <v>5996</v>
      </c>
      <c r="V8" s="21">
        <v>1174440</v>
      </c>
      <c r="W8" s="21">
        <v>3404910.67</v>
      </c>
      <c r="X8" s="21">
        <v>573936</v>
      </c>
      <c r="Y8" s="21">
        <v>1593959</v>
      </c>
      <c r="Z8" s="21">
        <v>72371</v>
      </c>
      <c r="AA8" s="21">
        <v>117760</v>
      </c>
      <c r="AB8" s="21">
        <v>1187612</v>
      </c>
      <c r="AC8" s="21">
        <v>3632653</v>
      </c>
      <c r="AD8" s="21">
        <v>2636052</v>
      </c>
      <c r="AE8" s="21">
        <v>7472881</v>
      </c>
      <c r="AF8" s="21">
        <v>1019232</v>
      </c>
      <c r="AG8" s="21">
        <v>3139030</v>
      </c>
      <c r="AH8" s="21">
        <v>52360</v>
      </c>
      <c r="AI8" s="21">
        <v>126633</v>
      </c>
      <c r="AJ8" s="21">
        <v>243273</v>
      </c>
      <c r="AK8" s="21">
        <v>558187</v>
      </c>
      <c r="AL8" s="21">
        <v>200943</v>
      </c>
      <c r="AM8" s="21">
        <v>573747</v>
      </c>
      <c r="AN8" s="21">
        <v>55157</v>
      </c>
      <c r="AO8" s="21">
        <v>190784</v>
      </c>
      <c r="AP8" s="21">
        <v>2884575</v>
      </c>
      <c r="AQ8" s="21">
        <v>9641219</v>
      </c>
      <c r="AR8" s="21">
        <v>4829491</v>
      </c>
      <c r="AS8" s="21">
        <v>15657134</v>
      </c>
      <c r="AT8" s="21">
        <f>63449+189240+2146638</f>
        <v>2399327</v>
      </c>
      <c r="AU8" s="21">
        <f>212510+633804+7189542</f>
        <v>8035856</v>
      </c>
      <c r="AV8" s="21">
        <v>40944</v>
      </c>
      <c r="AW8" s="21">
        <v>111059</v>
      </c>
      <c r="AX8" s="21">
        <v>1667266</v>
      </c>
      <c r="AY8" s="21">
        <v>4358200</v>
      </c>
      <c r="AZ8" s="21">
        <v>197456</v>
      </c>
      <c r="BA8" s="21">
        <v>489556</v>
      </c>
      <c r="BB8" s="21">
        <v>741811</v>
      </c>
      <c r="BC8" s="21">
        <v>2094925</v>
      </c>
      <c r="BD8" s="21">
        <v>725630</v>
      </c>
      <c r="BE8" s="21">
        <v>2120562</v>
      </c>
      <c r="BF8" s="21">
        <v>1560230</v>
      </c>
      <c r="BG8" s="21">
        <v>4536784</v>
      </c>
      <c r="BH8" s="21">
        <v>274957</v>
      </c>
      <c r="BI8" s="21">
        <v>891349</v>
      </c>
      <c r="BJ8" s="21">
        <v>1283157</v>
      </c>
      <c r="BK8" s="21">
        <v>3326409</v>
      </c>
      <c r="BL8" s="21">
        <v>3983122</v>
      </c>
      <c r="BM8" s="21">
        <v>12573363</v>
      </c>
      <c r="BN8" s="21">
        <v>464205</v>
      </c>
      <c r="BO8" s="21">
        <v>1048585</v>
      </c>
      <c r="BP8" s="21">
        <f t="shared" ref="BP8:BP19" si="2">B8+D8+F8+H8+J8+L8+N8+P8+R8+T8+V8+X8+Z8+AB8+AD8+AF8+AH8+AJ8+AL8+AN8+AP8+AR8+AT8+AV8+AX8+AZ8+BB8+BD8+BF8+BH8+BJ8+BL8+BN8</f>
        <v>33432679</v>
      </c>
      <c r="BQ8" s="21">
        <f t="shared" ref="BQ8:BQ19" si="3">C8+E8+G8+I8+K8+M8+O8+Q8+S8+U8+W8+Y8+AA8+AC8+AE8+AG8+AI8+AK8+AM8+AO8+AQ8+AS8+AU8+AW8+AY8+BA8+BC8+BE8+BG8+BI8+BK8+BM8+BO8</f>
        <v>100511399.67</v>
      </c>
    </row>
    <row r="9" spans="1:69" s="15" customFormat="1" x14ac:dyDescent="0.25">
      <c r="A9" s="23" t="s">
        <v>35</v>
      </c>
      <c r="B9" s="24">
        <v>157435</v>
      </c>
      <c r="C9" s="24">
        <v>271485</v>
      </c>
      <c r="D9" s="24">
        <v>1062357</v>
      </c>
      <c r="E9" s="24">
        <v>2422585</v>
      </c>
      <c r="F9" s="24">
        <v>1851719</v>
      </c>
      <c r="G9" s="24">
        <v>16653187</v>
      </c>
      <c r="H9" s="24">
        <v>4364082</v>
      </c>
      <c r="I9" s="24">
        <v>10328318</v>
      </c>
      <c r="J9" s="24">
        <v>20121141</v>
      </c>
      <c r="K9" s="24">
        <v>57722327</v>
      </c>
      <c r="L9" s="24">
        <v>4462484</v>
      </c>
      <c r="M9" s="24">
        <v>12179133</v>
      </c>
      <c r="N9" s="24">
        <f>48464+215530+8655060</f>
        <v>8919054</v>
      </c>
      <c r="O9" s="24">
        <v>26124347</v>
      </c>
      <c r="P9" s="24">
        <v>1049036</v>
      </c>
      <c r="Q9" s="24">
        <v>2959069</v>
      </c>
      <c r="R9" s="24">
        <v>193347</v>
      </c>
      <c r="S9" s="24">
        <v>897872</v>
      </c>
      <c r="T9" s="24">
        <v>86578</v>
      </c>
      <c r="U9" s="24">
        <v>122034</v>
      </c>
      <c r="V9" s="24">
        <v>3485659</v>
      </c>
      <c r="W9" s="24">
        <v>9715887.8800000008</v>
      </c>
      <c r="X9" s="24">
        <v>4519907</v>
      </c>
      <c r="Y9" s="24">
        <v>13074293</v>
      </c>
      <c r="Z9" s="24">
        <v>1369041</v>
      </c>
      <c r="AA9" s="24">
        <v>2390749</v>
      </c>
      <c r="AB9" s="24">
        <v>12522490</v>
      </c>
      <c r="AC9" s="24">
        <v>32438050</v>
      </c>
      <c r="AD9" s="24">
        <v>24163933</v>
      </c>
      <c r="AE9" s="24">
        <v>72325167</v>
      </c>
      <c r="AF9" s="24">
        <v>12113451</v>
      </c>
      <c r="AG9" s="24">
        <v>33628683</v>
      </c>
      <c r="AH9" s="24">
        <v>581657</v>
      </c>
      <c r="AI9" s="24">
        <v>1523100</v>
      </c>
      <c r="AJ9" s="24">
        <v>2356554</v>
      </c>
      <c r="AK9" s="24">
        <v>6284646</v>
      </c>
      <c r="AL9" s="24">
        <v>1552575</v>
      </c>
      <c r="AM9" s="24">
        <v>2588955</v>
      </c>
      <c r="AN9" s="24">
        <v>1596659</v>
      </c>
      <c r="AO9" s="24">
        <v>4542733</v>
      </c>
      <c r="AP9" s="24">
        <v>27696938.169962402</v>
      </c>
      <c r="AQ9" s="24">
        <v>93123610.221411198</v>
      </c>
      <c r="AR9" s="24">
        <v>63865813</v>
      </c>
      <c r="AS9" s="24">
        <v>187341133</v>
      </c>
      <c r="AT9" s="24">
        <f>674451+1602018+27028930</f>
        <v>29305399</v>
      </c>
      <c r="AU9" s="24">
        <f>2113137+6148662+85034736</f>
        <v>93296535</v>
      </c>
      <c r="AV9" s="24">
        <v>272352</v>
      </c>
      <c r="AW9" s="24">
        <v>761951</v>
      </c>
      <c r="AX9" s="24">
        <v>11474013</v>
      </c>
      <c r="AY9" s="24">
        <v>30186950</v>
      </c>
      <c r="AZ9" s="24">
        <v>3247431</v>
      </c>
      <c r="BA9" s="24">
        <v>8237404</v>
      </c>
      <c r="BB9" s="24">
        <v>6495089</v>
      </c>
      <c r="BC9" s="24">
        <v>18576257</v>
      </c>
      <c r="BD9" s="24">
        <v>6871217</v>
      </c>
      <c r="BE9" s="24">
        <v>19884016</v>
      </c>
      <c r="BF9" s="24">
        <v>6846174</v>
      </c>
      <c r="BG9" s="24">
        <v>20328423</v>
      </c>
      <c r="BH9" s="24">
        <v>8606376</v>
      </c>
      <c r="BI9" s="24">
        <v>23026567</v>
      </c>
      <c r="BJ9" s="24">
        <v>15001187</v>
      </c>
      <c r="BK9" s="24">
        <v>36985291</v>
      </c>
      <c r="BL9" s="24">
        <v>35772479</v>
      </c>
      <c r="BM9" s="24">
        <v>110819392</v>
      </c>
      <c r="BN9" s="24">
        <v>4906371</v>
      </c>
      <c r="BO9" s="24">
        <v>10431276</v>
      </c>
      <c r="BP9" s="24">
        <f t="shared" si="2"/>
        <v>326889998.16996241</v>
      </c>
      <c r="BQ9" s="24">
        <f t="shared" si="3"/>
        <v>961191426.10141122</v>
      </c>
    </row>
    <row r="10" spans="1:69" x14ac:dyDescent="0.25">
      <c r="A10" s="25" t="s">
        <v>36</v>
      </c>
      <c r="B10" s="21">
        <v>20424</v>
      </c>
      <c r="C10" s="21">
        <v>101821</v>
      </c>
      <c r="D10" s="21">
        <v>549090</v>
      </c>
      <c r="E10" s="21">
        <v>1360907</v>
      </c>
      <c r="F10" s="21">
        <v>3221864</v>
      </c>
      <c r="G10" s="21">
        <v>13419241</v>
      </c>
      <c r="H10" s="21">
        <v>2731717</v>
      </c>
      <c r="I10" s="21">
        <v>7429945</v>
      </c>
      <c r="J10" s="21">
        <v>11578846</v>
      </c>
      <c r="K10" s="21">
        <v>33622923</v>
      </c>
      <c r="L10" s="21">
        <v>2949929</v>
      </c>
      <c r="M10" s="21">
        <v>8030709</v>
      </c>
      <c r="N10" s="21">
        <f>38728+94968+5851121</f>
        <v>5984817</v>
      </c>
      <c r="O10" s="21">
        <v>17162301</v>
      </c>
      <c r="P10" s="21">
        <v>592840</v>
      </c>
      <c r="Q10" s="21">
        <v>1765813</v>
      </c>
      <c r="R10" s="21">
        <v>85712</v>
      </c>
      <c r="S10" s="21">
        <v>179327</v>
      </c>
      <c r="T10" s="21">
        <v>99793</v>
      </c>
      <c r="U10" s="21">
        <v>149544</v>
      </c>
      <c r="V10" s="21">
        <v>1518277</v>
      </c>
      <c r="W10" s="21">
        <v>9171283.4299999997</v>
      </c>
      <c r="X10" s="21">
        <v>2617028</v>
      </c>
      <c r="Y10" s="21">
        <v>7441984</v>
      </c>
      <c r="Z10" s="21">
        <v>900279</v>
      </c>
      <c r="AA10" s="21">
        <v>1632052</v>
      </c>
      <c r="AB10" s="21">
        <v>8469990</v>
      </c>
      <c r="AC10" s="21">
        <v>21977879</v>
      </c>
      <c r="AD10" s="21">
        <v>15288597</v>
      </c>
      <c r="AE10" s="21">
        <v>47334618</v>
      </c>
      <c r="AF10" s="21">
        <v>9589598</v>
      </c>
      <c r="AG10" s="21">
        <v>26959156</v>
      </c>
      <c r="AH10" s="21">
        <v>362680</v>
      </c>
      <c r="AI10" s="21">
        <v>968562</v>
      </c>
      <c r="AJ10" s="21">
        <v>1830087</v>
      </c>
      <c r="AK10" s="21">
        <v>3995963</v>
      </c>
      <c r="AL10" s="21">
        <v>1119691</v>
      </c>
      <c r="AM10" s="21">
        <v>1060796</v>
      </c>
      <c r="AN10" s="21">
        <v>867678</v>
      </c>
      <c r="AO10" s="21">
        <v>2639160</v>
      </c>
      <c r="AP10" s="21">
        <v>22314522.219000023</v>
      </c>
      <c r="AQ10" s="21">
        <v>82384587.475000083</v>
      </c>
      <c r="AR10" s="21">
        <v>55849916</v>
      </c>
      <c r="AS10" s="21">
        <v>152516784</v>
      </c>
      <c r="AT10" s="21">
        <f>-10402+1292935+28285762</f>
        <v>29568295</v>
      </c>
      <c r="AU10" s="21">
        <f>1124265+5161570+77979068</f>
        <v>84264903</v>
      </c>
      <c r="AV10" s="21">
        <v>229457</v>
      </c>
      <c r="AW10" s="21">
        <v>598384</v>
      </c>
      <c r="AX10" s="21">
        <v>8520024</v>
      </c>
      <c r="AY10" s="21">
        <v>22079559</v>
      </c>
      <c r="AZ10" s="21">
        <v>1728157</v>
      </c>
      <c r="BA10" s="21">
        <v>4421366</v>
      </c>
      <c r="BB10" s="21">
        <v>4923796</v>
      </c>
      <c r="BC10" s="21">
        <v>13814103</v>
      </c>
      <c r="BD10" s="21">
        <v>4744443</v>
      </c>
      <c r="BE10" s="21">
        <v>13550398</v>
      </c>
      <c r="BF10" s="21">
        <v>4252383</v>
      </c>
      <c r="BG10" s="21">
        <v>13189354</v>
      </c>
      <c r="BH10" s="21">
        <v>5884427</v>
      </c>
      <c r="BI10" s="21">
        <v>16511771</v>
      </c>
      <c r="BJ10" s="21">
        <v>11611573</v>
      </c>
      <c r="BK10" s="21">
        <v>25442089</v>
      </c>
      <c r="BL10" s="21">
        <v>32973010</v>
      </c>
      <c r="BM10" s="21">
        <v>107963984</v>
      </c>
      <c r="BN10" s="21">
        <v>4570856</v>
      </c>
      <c r="BO10" s="21">
        <v>7910540</v>
      </c>
      <c r="BP10" s="21">
        <f t="shared" si="2"/>
        <v>257549796.21900004</v>
      </c>
      <c r="BQ10" s="21">
        <f t="shared" si="3"/>
        <v>751051806.90500009</v>
      </c>
    </row>
    <row r="11" spans="1:69" x14ac:dyDescent="0.25">
      <c r="A11" s="25" t="s">
        <v>37</v>
      </c>
      <c r="B11" s="21">
        <v>-20151</v>
      </c>
      <c r="C11" s="21">
        <v>-25517</v>
      </c>
      <c r="D11" s="21">
        <v>134993</v>
      </c>
      <c r="E11" s="21">
        <v>298466</v>
      </c>
      <c r="F11" s="21">
        <v>385203</v>
      </c>
      <c r="G11" s="21">
        <v>-1741616</v>
      </c>
      <c r="H11" s="21">
        <v>279403</v>
      </c>
      <c r="I11" s="21">
        <v>454960</v>
      </c>
      <c r="J11" s="21">
        <v>1424884</v>
      </c>
      <c r="K11" s="21">
        <v>3462523</v>
      </c>
      <c r="L11" s="21">
        <v>176303</v>
      </c>
      <c r="M11" s="21">
        <v>547202</v>
      </c>
      <c r="N11" s="21">
        <f>-6161-683943+169275</f>
        <v>-520829</v>
      </c>
      <c r="O11" s="21">
        <v>-58735</v>
      </c>
      <c r="P11" s="21">
        <v>116397</v>
      </c>
      <c r="Q11" s="21">
        <v>372229</v>
      </c>
      <c r="R11" s="21">
        <v>-1070</v>
      </c>
      <c r="S11" s="21">
        <v>-113529</v>
      </c>
      <c r="T11" s="21">
        <v>-11843</v>
      </c>
      <c r="U11" s="21">
        <v>-80851</v>
      </c>
      <c r="V11" s="21">
        <v>-128988</v>
      </c>
      <c r="W11" s="21">
        <v>-358583.19</v>
      </c>
      <c r="X11" s="21">
        <v>183010</v>
      </c>
      <c r="Y11" s="21">
        <v>552578</v>
      </c>
      <c r="Z11" s="21">
        <v>30609</v>
      </c>
      <c r="AA11" s="21">
        <v>94402</v>
      </c>
      <c r="AB11" s="21">
        <v>-202875</v>
      </c>
      <c r="AC11" s="21">
        <v>-1438649</v>
      </c>
      <c r="AD11" s="21">
        <v>921077</v>
      </c>
      <c r="AE11" s="21">
        <v>1597457</v>
      </c>
      <c r="AF11" s="21">
        <v>561219</v>
      </c>
      <c r="AG11" s="21">
        <v>1560375</v>
      </c>
      <c r="AH11" s="21">
        <v>52056</v>
      </c>
      <c r="AI11" s="21">
        <v>141319</v>
      </c>
      <c r="AJ11" s="21">
        <v>255993</v>
      </c>
      <c r="AK11" s="21">
        <v>755559</v>
      </c>
      <c r="AL11" s="21">
        <v>-170972</v>
      </c>
      <c r="AM11" s="21">
        <v>-143468</v>
      </c>
      <c r="AN11" s="21">
        <v>46534</v>
      </c>
      <c r="AO11" s="21">
        <v>108113</v>
      </c>
      <c r="AP11" s="21">
        <v>2089855.9759999998</v>
      </c>
      <c r="AQ11" s="21">
        <v>4416391.398</v>
      </c>
      <c r="AR11" s="21">
        <v>4960186</v>
      </c>
      <c r="AS11" s="21">
        <v>15034385</v>
      </c>
      <c r="AT11" s="21">
        <f>56142+177674+1214447</f>
        <v>1448263</v>
      </c>
      <c r="AU11" s="21">
        <f>167195+621727+3669913</f>
        <v>4458835</v>
      </c>
      <c r="AV11" s="21">
        <v>17166</v>
      </c>
      <c r="AW11" s="21">
        <v>55411</v>
      </c>
      <c r="AX11" s="21">
        <v>127202</v>
      </c>
      <c r="AY11" s="21">
        <v>-16696</v>
      </c>
      <c r="AZ11" s="21">
        <v>-177314</v>
      </c>
      <c r="BA11" s="21">
        <v>-215744</v>
      </c>
      <c r="BB11" s="21">
        <v>197451</v>
      </c>
      <c r="BC11" s="21">
        <v>521706</v>
      </c>
      <c r="BD11" s="21">
        <v>-168609</v>
      </c>
      <c r="BE11" s="21">
        <v>-665804</v>
      </c>
      <c r="BF11" s="21">
        <v>199488</v>
      </c>
      <c r="BG11" s="21">
        <v>558126</v>
      </c>
      <c r="BH11" s="21">
        <v>886907</v>
      </c>
      <c r="BI11" s="21">
        <v>2457347</v>
      </c>
      <c r="BJ11" s="21">
        <v>-38344</v>
      </c>
      <c r="BK11" s="21">
        <v>374679</v>
      </c>
      <c r="BL11" s="21">
        <v>1662008</v>
      </c>
      <c r="BM11" s="21">
        <v>4956249</v>
      </c>
      <c r="BN11" s="21">
        <v>27333</v>
      </c>
      <c r="BO11" s="21">
        <v>438865</v>
      </c>
      <c r="BP11" s="21">
        <f t="shared" si="2"/>
        <v>14742545.976</v>
      </c>
      <c r="BQ11" s="21">
        <f t="shared" si="3"/>
        <v>38357985.208000004</v>
      </c>
    </row>
    <row r="12" spans="1:69" ht="30" x14ac:dyDescent="0.25">
      <c r="A12" s="25" t="s">
        <v>38</v>
      </c>
      <c r="B12" s="21">
        <v>494536</v>
      </c>
      <c r="C12" s="21">
        <v>900802</v>
      </c>
      <c r="D12" s="21">
        <v>930205</v>
      </c>
      <c r="E12" s="21">
        <v>2698635</v>
      </c>
      <c r="F12" s="21">
        <v>519028</v>
      </c>
      <c r="G12" s="21">
        <v>1440972</v>
      </c>
      <c r="H12" s="21">
        <v>1455935</v>
      </c>
      <c r="I12" s="21">
        <v>3455265</v>
      </c>
      <c r="J12" s="21">
        <v>4523406</v>
      </c>
      <c r="K12" s="21">
        <v>12198303</v>
      </c>
      <c r="L12" s="21">
        <v>1304294</v>
      </c>
      <c r="M12" s="21">
        <v>3637365</v>
      </c>
      <c r="N12" s="21">
        <f>25375-1029+2743984</f>
        <v>2768330</v>
      </c>
      <c r="O12" s="21">
        <v>6856149</v>
      </c>
      <c r="P12" s="21">
        <v>777706</v>
      </c>
      <c r="Q12" s="21">
        <v>2242921</v>
      </c>
      <c r="R12" s="21">
        <v>304003</v>
      </c>
      <c r="S12" s="21">
        <v>1015227</v>
      </c>
      <c r="T12" s="21">
        <v>165573</v>
      </c>
      <c r="U12" s="21">
        <v>446737</v>
      </c>
      <c r="V12" s="21">
        <v>529845</v>
      </c>
      <c r="W12" s="21">
        <v>1462951.42</v>
      </c>
      <c r="X12" s="21">
        <v>1383080</v>
      </c>
      <c r="Y12" s="21">
        <v>4125733</v>
      </c>
      <c r="Z12" s="21">
        <v>1044382</v>
      </c>
      <c r="AA12" s="21">
        <v>2427886</v>
      </c>
      <c r="AB12" s="21">
        <v>2763249</v>
      </c>
      <c r="AC12" s="21">
        <v>8131359</v>
      </c>
      <c r="AD12" s="21">
        <v>5185961</v>
      </c>
      <c r="AE12" s="21">
        <v>14046252</v>
      </c>
      <c r="AF12" s="21">
        <v>1212319</v>
      </c>
      <c r="AG12" s="21">
        <v>3794644</v>
      </c>
      <c r="AH12" s="21">
        <v>278203</v>
      </c>
      <c r="AI12" s="21">
        <v>734440</v>
      </c>
      <c r="AJ12" s="21">
        <v>985638</v>
      </c>
      <c r="AK12" s="21">
        <v>2609511</v>
      </c>
      <c r="AL12" s="21">
        <v>698755</v>
      </c>
      <c r="AM12" s="21">
        <v>1701786</v>
      </c>
      <c r="AN12" s="21">
        <v>859494</v>
      </c>
      <c r="AO12" s="21">
        <v>2422113</v>
      </c>
      <c r="AP12" s="21">
        <v>6384857</v>
      </c>
      <c r="AQ12" s="21">
        <v>19508707</v>
      </c>
      <c r="AR12" s="21">
        <v>8722587</v>
      </c>
      <c r="AS12" s="21">
        <v>25128934</v>
      </c>
      <c r="AT12" s="21">
        <f>104500+498276+4882632</f>
        <v>5485408</v>
      </c>
      <c r="AU12" s="21">
        <f>319315+1604659+14498264</f>
        <v>16422238</v>
      </c>
      <c r="AV12" s="21">
        <v>77447</v>
      </c>
      <c r="AW12" s="21">
        <v>231493</v>
      </c>
      <c r="AX12" s="21">
        <v>2454389</v>
      </c>
      <c r="AY12" s="21">
        <v>6936698</v>
      </c>
      <c r="AZ12" s="21">
        <v>1295372</v>
      </c>
      <c r="BA12" s="21">
        <v>3755327</v>
      </c>
      <c r="BB12" s="21">
        <v>1146148</v>
      </c>
      <c r="BC12" s="21">
        <v>3350335</v>
      </c>
      <c r="BD12" s="21">
        <v>1390355</v>
      </c>
      <c r="BE12" s="21">
        <v>4191842</v>
      </c>
      <c r="BF12" s="21">
        <v>702940</v>
      </c>
      <c r="BG12" s="21">
        <v>1978846</v>
      </c>
      <c r="BH12" s="21">
        <v>2123132</v>
      </c>
      <c r="BI12" s="21">
        <v>6705269</v>
      </c>
      <c r="BJ12" s="21">
        <v>4207776</v>
      </c>
      <c r="BK12" s="21">
        <v>10622810</v>
      </c>
      <c r="BL12" s="21">
        <v>8135792</v>
      </c>
      <c r="BM12" s="21">
        <v>20225534</v>
      </c>
      <c r="BN12" s="21">
        <v>705420</v>
      </c>
      <c r="BO12" s="21">
        <v>1786719</v>
      </c>
      <c r="BP12" s="21">
        <f t="shared" si="2"/>
        <v>71015565</v>
      </c>
      <c r="BQ12" s="21">
        <f t="shared" si="3"/>
        <v>197193803.42000002</v>
      </c>
    </row>
    <row r="13" spans="1:69" x14ac:dyDescent="0.25">
      <c r="A13" s="25" t="s">
        <v>39</v>
      </c>
      <c r="B13" s="21"/>
      <c r="C13" s="21"/>
      <c r="D13" s="21"/>
      <c r="E13" s="21"/>
      <c r="F13" s="21"/>
      <c r="G13" s="21"/>
      <c r="H13" s="21"/>
      <c r="I13" s="21"/>
      <c r="J13" s="21"/>
      <c r="K13" s="21">
        <v>-44071</v>
      </c>
      <c r="L13" s="21">
        <v>20062</v>
      </c>
      <c r="M13" s="21">
        <v>26593</v>
      </c>
      <c r="N13" s="21"/>
      <c r="O13" s="21"/>
      <c r="P13" s="21"/>
      <c r="Q13" s="21"/>
      <c r="R13" s="21">
        <v>12643</v>
      </c>
      <c r="S13" s="21">
        <v>170227</v>
      </c>
      <c r="T13" s="21">
        <v>30400</v>
      </c>
      <c r="U13" s="21">
        <v>50105</v>
      </c>
      <c r="V13" s="21">
        <v>288100</v>
      </c>
      <c r="W13" s="21">
        <v>-273200</v>
      </c>
      <c r="X13" s="21"/>
      <c r="Y13" s="21"/>
      <c r="Z13" s="21">
        <v>17876</v>
      </c>
      <c r="AA13" s="21">
        <v>17876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>
        <v>-353</v>
      </c>
      <c r="AM13" s="21">
        <v>-2583</v>
      </c>
      <c r="AN13" s="21"/>
      <c r="AO13" s="21"/>
      <c r="AP13" s="21"/>
      <c r="AQ13" s="21"/>
      <c r="AR13" s="21"/>
      <c r="AS13" s="21"/>
      <c r="AT13" s="21"/>
      <c r="AU13" s="21"/>
      <c r="AV13" s="21">
        <v>-394</v>
      </c>
      <c r="AW13" s="21">
        <v>60</v>
      </c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>
        <f t="shared" si="2"/>
        <v>368334</v>
      </c>
      <c r="BQ13" s="21">
        <f t="shared" si="3"/>
        <v>-54993</v>
      </c>
    </row>
    <row r="14" spans="1:69" x14ac:dyDescent="0.25">
      <c r="A14" s="25" t="s">
        <v>160</v>
      </c>
      <c r="B14" s="21"/>
      <c r="C14" s="21"/>
      <c r="D14" s="21"/>
      <c r="E14" s="21"/>
      <c r="F14" s="21"/>
      <c r="G14" s="21"/>
      <c r="H14" s="21"/>
      <c r="I14" s="21"/>
      <c r="J14" s="21">
        <v>7270</v>
      </c>
      <c r="K14" s="21">
        <v>19643</v>
      </c>
      <c r="L14" s="21">
        <v>1350</v>
      </c>
      <c r="M14" s="21">
        <v>3187</v>
      </c>
      <c r="N14" s="21"/>
      <c r="O14" s="21"/>
      <c r="P14" s="21"/>
      <c r="Q14" s="21"/>
      <c r="R14" s="21">
        <v>39</v>
      </c>
      <c r="S14" s="21">
        <v>41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v>297</v>
      </c>
      <c r="AI14" s="21">
        <v>698</v>
      </c>
      <c r="AJ14" s="21"/>
      <c r="AK14" s="21"/>
      <c r="AL14" s="21">
        <v>1468</v>
      </c>
      <c r="AM14" s="21">
        <v>3682</v>
      </c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>
        <v>1149</v>
      </c>
      <c r="BO14" s="21">
        <v>2480</v>
      </c>
      <c r="BP14" s="21">
        <f t="shared" si="2"/>
        <v>11573</v>
      </c>
      <c r="BQ14" s="21">
        <f t="shared" si="3"/>
        <v>29731</v>
      </c>
    </row>
    <row r="15" spans="1:69" x14ac:dyDescent="0.25">
      <c r="A15" s="25" t="s">
        <v>381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>
        <v>98</v>
      </c>
      <c r="AQ15" s="21">
        <v>103307</v>
      </c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>
        <f t="shared" si="2"/>
        <v>98</v>
      </c>
      <c r="BQ15" s="21">
        <f t="shared" si="3"/>
        <v>103307</v>
      </c>
    </row>
    <row r="16" spans="1:69" ht="90" x14ac:dyDescent="0.25">
      <c r="A16" s="25" t="s">
        <v>382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>
        <v>227830</v>
      </c>
      <c r="AQ16" s="21">
        <v>293253</v>
      </c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>
        <f t="shared" si="2"/>
        <v>227830</v>
      </c>
      <c r="BQ16" s="21">
        <f t="shared" si="3"/>
        <v>293253</v>
      </c>
    </row>
    <row r="17" spans="1:69" x14ac:dyDescent="0.25">
      <c r="A17" s="25" t="s">
        <v>231</v>
      </c>
      <c r="B17" s="21"/>
      <c r="C17" s="21"/>
      <c r="D17" s="21"/>
      <c r="E17" s="21"/>
      <c r="F17" s="21">
        <v>14911</v>
      </c>
      <c r="G17" s="21">
        <v>57292</v>
      </c>
      <c r="H17" s="21"/>
      <c r="I17" s="21"/>
      <c r="J17" s="21"/>
      <c r="K17" s="21"/>
      <c r="L17" s="21">
        <v>1143</v>
      </c>
      <c r="M17" s="21">
        <v>4024</v>
      </c>
      <c r="N17" s="21"/>
      <c r="O17" s="21"/>
      <c r="P17" s="21"/>
      <c r="Q17" s="21"/>
      <c r="R17" s="21">
        <v>34</v>
      </c>
      <c r="S17" s="21">
        <v>219</v>
      </c>
      <c r="T17" s="21"/>
      <c r="U17" s="21"/>
      <c r="V17" s="21">
        <v>21830</v>
      </c>
      <c r="W17" s="21">
        <v>61428.42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>
        <v>-341013</v>
      </c>
      <c r="AO17" s="21">
        <v>-848654</v>
      </c>
      <c r="AP17" s="21"/>
      <c r="AQ17" s="21"/>
      <c r="AR17" s="21">
        <v>292239</v>
      </c>
      <c r="AS17" s="21">
        <v>318484</v>
      </c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>
        <v>-683</v>
      </c>
      <c r="BI17" s="21">
        <v>12285</v>
      </c>
      <c r="BJ17" s="21"/>
      <c r="BK17" s="21"/>
      <c r="BL17" s="21">
        <f>BL18-BL10-BL11-BL12</f>
        <v>48955</v>
      </c>
      <c r="BM17" s="21">
        <f>BM18-BM12-BM11-BM10</f>
        <v>627974</v>
      </c>
      <c r="BN17" s="21"/>
      <c r="BO17" s="21"/>
      <c r="BP17" s="21">
        <f t="shared" si="2"/>
        <v>37416</v>
      </c>
      <c r="BQ17" s="21">
        <f t="shared" si="3"/>
        <v>233052.42000000004</v>
      </c>
    </row>
    <row r="18" spans="1:69" s="15" customFormat="1" x14ac:dyDescent="0.25">
      <c r="A18" s="23" t="s">
        <v>40</v>
      </c>
      <c r="B18" s="24">
        <v>494809</v>
      </c>
      <c r="C18" s="24">
        <v>977106</v>
      </c>
      <c r="D18" s="24">
        <v>1614288</v>
      </c>
      <c r="E18" s="24">
        <v>4358009</v>
      </c>
      <c r="F18" s="24">
        <v>4141006</v>
      </c>
      <c r="G18" s="24">
        <v>13175889</v>
      </c>
      <c r="H18" s="24">
        <v>4467055</v>
      </c>
      <c r="I18" s="24">
        <v>11340170</v>
      </c>
      <c r="J18" s="24">
        <v>17534406</v>
      </c>
      <c r="K18" s="24">
        <v>49259321</v>
      </c>
      <c r="L18" s="24">
        <v>4453079</v>
      </c>
      <c r="M18" s="24">
        <v>12249081</v>
      </c>
      <c r="N18" s="24">
        <f>57942-590004+8764380</f>
        <v>8232318</v>
      </c>
      <c r="O18" s="24">
        <v>23959715</v>
      </c>
      <c r="P18" s="24">
        <v>1486943</v>
      </c>
      <c r="Q18" s="24">
        <v>4380963</v>
      </c>
      <c r="R18" s="24">
        <v>401361</v>
      </c>
      <c r="S18" s="24">
        <v>1252012</v>
      </c>
      <c r="T18" s="24">
        <v>283923</v>
      </c>
      <c r="U18" s="24">
        <v>565535</v>
      </c>
      <c r="V18" s="24">
        <v>2229065</v>
      </c>
      <c r="W18" s="24">
        <v>10063880.08</v>
      </c>
      <c r="X18" s="24">
        <v>4183118</v>
      </c>
      <c r="Y18" s="24">
        <v>12120295</v>
      </c>
      <c r="Z18" s="24">
        <v>1993145</v>
      </c>
      <c r="AA18" s="24">
        <v>4172215</v>
      </c>
      <c r="AB18" s="24">
        <v>11030364</v>
      </c>
      <c r="AC18" s="24">
        <v>28670589</v>
      </c>
      <c r="AD18" s="24">
        <v>21395635</v>
      </c>
      <c r="AE18" s="24">
        <v>62978327</v>
      </c>
      <c r="AF18" s="24">
        <v>11363136</v>
      </c>
      <c r="AG18" s="24">
        <v>32314175</v>
      </c>
      <c r="AH18" s="24">
        <v>693236</v>
      </c>
      <c r="AI18" s="24">
        <v>1845019</v>
      </c>
      <c r="AJ18" s="24">
        <v>3071718</v>
      </c>
      <c r="AK18" s="24">
        <v>7361033</v>
      </c>
      <c r="AL18" s="24">
        <v>1648589</v>
      </c>
      <c r="AM18" s="24">
        <v>2620213</v>
      </c>
      <c r="AN18" s="24">
        <v>1432694</v>
      </c>
      <c r="AO18" s="24">
        <v>4320733</v>
      </c>
      <c r="AP18" s="24">
        <v>31017163.195000023</v>
      </c>
      <c r="AQ18" s="24">
        <v>106706245.87300009</v>
      </c>
      <c r="AR18" s="24">
        <v>69824928</v>
      </c>
      <c r="AS18" s="24">
        <v>192998587</v>
      </c>
      <c r="AT18" s="24">
        <f>150240+1968885+34382841</f>
        <v>36501966</v>
      </c>
      <c r="AU18" s="24">
        <f>1610775+7387956+96147245</f>
        <v>105145976</v>
      </c>
      <c r="AV18" s="24">
        <v>323676</v>
      </c>
      <c r="AW18" s="24">
        <v>885348</v>
      </c>
      <c r="AX18" s="24">
        <v>11101615</v>
      </c>
      <c r="AY18" s="24">
        <v>28999561</v>
      </c>
      <c r="AZ18" s="24">
        <v>2846216</v>
      </c>
      <c r="BA18" s="24">
        <v>7960948</v>
      </c>
      <c r="BB18" s="24">
        <v>6267395</v>
      </c>
      <c r="BC18" s="24">
        <v>17686144</v>
      </c>
      <c r="BD18" s="24">
        <v>5966190</v>
      </c>
      <c r="BE18" s="24">
        <v>17076436</v>
      </c>
      <c r="BF18" s="24">
        <v>5154812</v>
      </c>
      <c r="BG18" s="24">
        <v>15726327</v>
      </c>
      <c r="BH18" s="24">
        <v>8893784</v>
      </c>
      <c r="BI18" s="24">
        <v>25686672</v>
      </c>
      <c r="BJ18" s="24">
        <v>15781005</v>
      </c>
      <c r="BK18" s="24">
        <v>36439578</v>
      </c>
      <c r="BL18" s="24">
        <v>42819765</v>
      </c>
      <c r="BM18" s="24">
        <v>133773741</v>
      </c>
      <c r="BN18" s="24">
        <v>5304758</v>
      </c>
      <c r="BO18" s="24">
        <v>10138604</v>
      </c>
      <c r="BP18" s="24">
        <f t="shared" si="2"/>
        <v>343953161.19500005</v>
      </c>
      <c r="BQ18" s="24">
        <f t="shared" si="3"/>
        <v>987208447.95300007</v>
      </c>
    </row>
    <row r="19" spans="1:69" s="15" customFormat="1" x14ac:dyDescent="0.25">
      <c r="A19" s="23" t="s">
        <v>41</v>
      </c>
      <c r="B19" s="24">
        <v>-337374</v>
      </c>
      <c r="C19" s="24">
        <v>-705621</v>
      </c>
      <c r="D19" s="24">
        <v>-551931</v>
      </c>
      <c r="E19" s="24">
        <v>-1935424</v>
      </c>
      <c r="F19" s="24">
        <v>-2289287</v>
      </c>
      <c r="G19" s="24">
        <v>3477298</v>
      </c>
      <c r="H19" s="24">
        <v>-102973</v>
      </c>
      <c r="I19" s="24">
        <v>-1011852</v>
      </c>
      <c r="J19" s="24">
        <v>2586735</v>
      </c>
      <c r="K19" s="24">
        <v>8463006</v>
      </c>
      <c r="L19" s="24">
        <v>9403</v>
      </c>
      <c r="M19" s="24">
        <v>-69948</v>
      </c>
      <c r="N19" s="24">
        <f>-9478+805534-109320</f>
        <v>686736</v>
      </c>
      <c r="O19" s="24">
        <v>2164632</v>
      </c>
      <c r="P19" s="24">
        <v>-437907</v>
      </c>
      <c r="Q19" s="24">
        <v>-1421894</v>
      </c>
      <c r="R19" s="24">
        <v>-208014</v>
      </c>
      <c r="S19" s="24">
        <v>-354140</v>
      </c>
      <c r="T19" s="24">
        <v>-197345</v>
      </c>
      <c r="U19" s="24">
        <v>-443501</v>
      </c>
      <c r="V19" s="24">
        <v>1256593</v>
      </c>
      <c r="W19" s="24">
        <v>-347992.2</v>
      </c>
      <c r="X19" s="24">
        <v>336789</v>
      </c>
      <c r="Y19" s="24">
        <v>953998</v>
      </c>
      <c r="Z19" s="24">
        <v>-624103</v>
      </c>
      <c r="AA19" s="24">
        <v>-1781465</v>
      </c>
      <c r="AB19" s="24">
        <v>1492126</v>
      </c>
      <c r="AC19" s="24">
        <v>3767461</v>
      </c>
      <c r="AD19" s="24">
        <v>2768298</v>
      </c>
      <c r="AE19" s="24">
        <v>9346840</v>
      </c>
      <c r="AF19" s="24">
        <v>750315</v>
      </c>
      <c r="AG19" s="24">
        <v>1314508</v>
      </c>
      <c r="AH19" s="24">
        <v>-111579</v>
      </c>
      <c r="AI19" s="24">
        <v>-321919</v>
      </c>
      <c r="AJ19" s="24">
        <v>-715164</v>
      </c>
      <c r="AK19" s="24">
        <v>-1076387</v>
      </c>
      <c r="AL19" s="24">
        <v>-96014</v>
      </c>
      <c r="AM19" s="24">
        <v>-31258</v>
      </c>
      <c r="AN19" s="24">
        <v>163965</v>
      </c>
      <c r="AO19" s="24">
        <v>222000</v>
      </c>
      <c r="AP19" s="24">
        <v>-3320225.0250376202</v>
      </c>
      <c r="AQ19" s="24">
        <v>-13582636.651588887</v>
      </c>
      <c r="AR19" s="24">
        <v>-5959115</v>
      </c>
      <c r="AS19" s="24">
        <v>-5657454</v>
      </c>
      <c r="AT19" s="24">
        <f>524211-366867-7353911</f>
        <v>-7196567</v>
      </c>
      <c r="AU19" s="24">
        <f>502362-1239294-11112508</f>
        <v>-11849440</v>
      </c>
      <c r="AV19" s="24">
        <v>-51324</v>
      </c>
      <c r="AW19" s="24">
        <v>-123397</v>
      </c>
      <c r="AX19" s="24">
        <v>372398</v>
      </c>
      <c r="AY19" s="24">
        <v>1187389</v>
      </c>
      <c r="AZ19" s="24">
        <v>401215</v>
      </c>
      <c r="BA19" s="24">
        <v>276456</v>
      </c>
      <c r="BB19" s="24">
        <v>227694</v>
      </c>
      <c r="BC19" s="24">
        <v>890113</v>
      </c>
      <c r="BD19" s="24">
        <v>905028</v>
      </c>
      <c r="BE19" s="24">
        <v>2807580</v>
      </c>
      <c r="BF19" s="24">
        <v>1691362</v>
      </c>
      <c r="BG19" s="24">
        <v>4602096</v>
      </c>
      <c r="BH19" s="24">
        <v>-287407</v>
      </c>
      <c r="BI19" s="24">
        <v>-2660105</v>
      </c>
      <c r="BJ19" s="24">
        <v>-779818</v>
      </c>
      <c r="BK19" s="24">
        <v>545713</v>
      </c>
      <c r="BL19" s="24">
        <v>-7047286</v>
      </c>
      <c r="BM19" s="24">
        <v>-22954349</v>
      </c>
      <c r="BN19" s="24">
        <v>-398387</v>
      </c>
      <c r="BO19" s="24">
        <v>292672</v>
      </c>
      <c r="BP19" s="24">
        <f t="shared" si="2"/>
        <v>-17063163.02503762</v>
      </c>
      <c r="BQ19" s="24">
        <f t="shared" si="3"/>
        <v>-26017020.851588886</v>
      </c>
    </row>
  </sheetData>
  <mergeCells count="34">
    <mergeCell ref="BP3:BQ3"/>
    <mergeCell ref="AV3:AW3"/>
    <mergeCell ref="AX3:AY3"/>
    <mergeCell ref="AZ3:BA3"/>
    <mergeCell ref="AL3:AM3"/>
    <mergeCell ref="AN3:AO3"/>
    <mergeCell ref="AP3:AQ3"/>
    <mergeCell ref="AR3:AS3"/>
    <mergeCell ref="AT3:AU3"/>
    <mergeCell ref="BD3:BE3"/>
    <mergeCell ref="BB3:BC3"/>
    <mergeCell ref="BN3:BO3"/>
    <mergeCell ref="BL3:BM3"/>
    <mergeCell ref="BJ3:BK3"/>
    <mergeCell ref="BH3:BI3"/>
    <mergeCell ref="BF3:BG3"/>
    <mergeCell ref="AB3:AC3"/>
    <mergeCell ref="AD3:AE3"/>
    <mergeCell ref="AF3:AG3"/>
    <mergeCell ref="AH3:AI3"/>
    <mergeCell ref="AJ3:AK3"/>
    <mergeCell ref="R3:S3"/>
    <mergeCell ref="T3:U3"/>
    <mergeCell ref="V3:W3"/>
    <mergeCell ref="X3:Y3"/>
    <mergeCell ref="Z3:AA3"/>
    <mergeCell ref="N3:O3"/>
    <mergeCell ref="P3:Q3"/>
    <mergeCell ref="H3:I3"/>
    <mergeCell ref="B3:C3"/>
    <mergeCell ref="D3:E3"/>
    <mergeCell ref="F3:G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2" sqref="B2"/>
    </sheetView>
  </sheetViews>
  <sheetFormatPr defaultRowHeight="15" x14ac:dyDescent="0.25"/>
  <cols>
    <col min="1" max="1" width="38.5703125" style="2" customWidth="1"/>
    <col min="2" max="35" width="16" customWidth="1"/>
  </cols>
  <sheetData>
    <row r="1" spans="1:35" ht="18.75" x14ac:dyDescent="0.3">
      <c r="A1" s="32" t="s">
        <v>202</v>
      </c>
    </row>
    <row r="2" spans="1:35" x14ac:dyDescent="0.25">
      <c r="A2" s="2" t="s">
        <v>43</v>
      </c>
    </row>
    <row r="3" spans="1:35" s="72" customFormat="1" x14ac:dyDescent="0.25">
      <c r="A3" s="73" t="s">
        <v>0</v>
      </c>
      <c r="B3" s="70" t="s">
        <v>1</v>
      </c>
      <c r="C3" s="70" t="s">
        <v>2</v>
      </c>
      <c r="D3" s="70" t="s">
        <v>3</v>
      </c>
      <c r="E3" s="70" t="s">
        <v>4</v>
      </c>
      <c r="F3" s="70" t="s">
        <v>5</v>
      </c>
      <c r="G3" s="70" t="s">
        <v>6</v>
      </c>
      <c r="H3" s="70" t="s">
        <v>7</v>
      </c>
      <c r="I3" s="70" t="s">
        <v>8</v>
      </c>
      <c r="J3" s="70" t="s">
        <v>9</v>
      </c>
      <c r="K3" s="70" t="s">
        <v>10</v>
      </c>
      <c r="L3" s="70" t="s">
        <v>11</v>
      </c>
      <c r="M3" s="70" t="s">
        <v>12</v>
      </c>
      <c r="N3" s="70" t="s">
        <v>13</v>
      </c>
      <c r="O3" s="70" t="s">
        <v>14</v>
      </c>
      <c r="P3" s="70" t="s">
        <v>15</v>
      </c>
      <c r="Q3" s="70" t="s">
        <v>16</v>
      </c>
      <c r="R3" s="70" t="s">
        <v>17</v>
      </c>
      <c r="S3" s="70" t="s">
        <v>18</v>
      </c>
      <c r="T3" s="70" t="s">
        <v>19</v>
      </c>
      <c r="U3" s="70" t="s">
        <v>20</v>
      </c>
      <c r="V3" s="70" t="s">
        <v>21</v>
      </c>
      <c r="W3" s="70" t="s">
        <v>161</v>
      </c>
      <c r="X3" s="70" t="s">
        <v>162</v>
      </c>
      <c r="Y3" s="70" t="s">
        <v>22</v>
      </c>
      <c r="Z3" s="70" t="s">
        <v>23</v>
      </c>
      <c r="AA3" s="70" t="s">
        <v>24</v>
      </c>
      <c r="AB3" s="70" t="s">
        <v>25</v>
      </c>
      <c r="AC3" s="70" t="s">
        <v>26</v>
      </c>
      <c r="AD3" s="70" t="s">
        <v>27</v>
      </c>
      <c r="AE3" s="70" t="s">
        <v>28</v>
      </c>
      <c r="AF3" s="70" t="s">
        <v>29</v>
      </c>
      <c r="AG3" s="70" t="s">
        <v>30</v>
      </c>
      <c r="AH3" s="70" t="s">
        <v>31</v>
      </c>
      <c r="AI3" s="70" t="s">
        <v>304</v>
      </c>
    </row>
    <row r="4" spans="1:35" s="1" customFormat="1" x14ac:dyDescent="0.25">
      <c r="A4" s="36" t="s">
        <v>97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 spans="1:35" x14ac:dyDescent="0.25">
      <c r="A5" s="38" t="s">
        <v>98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71">
        <f>SUM(B5:AH5)</f>
        <v>0</v>
      </c>
    </row>
    <row r="6" spans="1:35" x14ac:dyDescent="0.25">
      <c r="A6" s="38" t="s">
        <v>99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71">
        <f t="shared" ref="AI6:AI32" si="0">SUM(B6:AH6)</f>
        <v>0</v>
      </c>
    </row>
    <row r="7" spans="1:35" x14ac:dyDescent="0.25">
      <c r="A7" s="38" t="s">
        <v>100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39"/>
      <c r="Q7" s="39"/>
      <c r="R7" s="39"/>
      <c r="S7" s="39"/>
      <c r="T7" s="39"/>
      <c r="U7" s="39"/>
      <c r="V7" s="39">
        <v>238431</v>
      </c>
      <c r="W7" s="39">
        <v>2182434</v>
      </c>
      <c r="X7" s="39"/>
      <c r="Y7" s="39"/>
      <c r="Z7" s="39"/>
      <c r="AA7" s="39"/>
      <c r="AB7" s="39"/>
      <c r="AC7" s="39"/>
      <c r="AD7" s="39"/>
      <c r="AE7" s="39"/>
      <c r="AF7" s="39"/>
      <c r="AG7" s="39">
        <v>59963</v>
      </c>
      <c r="AH7" s="39"/>
      <c r="AI7" s="71">
        <f t="shared" si="0"/>
        <v>2480828</v>
      </c>
    </row>
    <row r="8" spans="1:35" x14ac:dyDescent="0.25">
      <c r="A8" s="38" t="s">
        <v>101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71">
        <f t="shared" si="0"/>
        <v>0</v>
      </c>
    </row>
    <row r="9" spans="1:35" x14ac:dyDescent="0.25">
      <c r="A9" s="38" t="s">
        <v>102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71">
        <f t="shared" si="0"/>
        <v>0</v>
      </c>
    </row>
    <row r="10" spans="1:35" x14ac:dyDescent="0.25">
      <c r="A10" s="38" t="s">
        <v>256</v>
      </c>
      <c r="B10" s="39"/>
      <c r="C10" s="39"/>
      <c r="D10" s="39">
        <v>111036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>
        <v>1559423</v>
      </c>
      <c r="W10" s="39">
        <v>674088</v>
      </c>
      <c r="X10" s="39">
        <f>371767+1032727</f>
        <v>1404494</v>
      </c>
      <c r="Y10" s="39"/>
      <c r="Z10" s="39"/>
      <c r="AA10" s="39"/>
      <c r="AB10" s="39"/>
      <c r="AC10" s="39"/>
      <c r="AD10" s="39"/>
      <c r="AE10" s="39"/>
      <c r="AF10" s="39"/>
      <c r="AG10" s="39">
        <v>687721</v>
      </c>
      <c r="AH10" s="39"/>
      <c r="AI10" s="71">
        <f t="shared" si="0"/>
        <v>4436762</v>
      </c>
    </row>
    <row r="11" spans="1:35" x14ac:dyDescent="0.25">
      <c r="A11" s="38" t="s">
        <v>103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39"/>
      <c r="Q11" s="39"/>
      <c r="R11" s="39"/>
      <c r="S11" s="39"/>
      <c r="T11" s="39">
        <v>59840</v>
      </c>
      <c r="U11" s="39"/>
      <c r="V11" s="39">
        <v>177077</v>
      </c>
      <c r="W11" s="39"/>
      <c r="X11" s="39">
        <v>64299</v>
      </c>
      <c r="Y11" s="39"/>
      <c r="Z11" s="39"/>
      <c r="AA11" s="39"/>
      <c r="AB11" s="39"/>
      <c r="AC11" s="39"/>
      <c r="AD11" s="39"/>
      <c r="AE11" s="39"/>
      <c r="AF11" s="39"/>
      <c r="AG11" s="39">
        <v>2108742</v>
      </c>
      <c r="AH11" s="39"/>
      <c r="AI11" s="71">
        <f t="shared" si="0"/>
        <v>2409958</v>
      </c>
    </row>
    <row r="12" spans="1:35" s="33" customFormat="1" x14ac:dyDescent="0.25">
      <c r="A12" s="34" t="s">
        <v>61</v>
      </c>
      <c r="B12" s="35"/>
      <c r="C12" s="35"/>
      <c r="D12" s="35">
        <v>111036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1"/>
      <c r="P12" s="35"/>
      <c r="Q12" s="35"/>
      <c r="R12" s="35"/>
      <c r="S12" s="35"/>
      <c r="T12" s="35">
        <v>59840</v>
      </c>
      <c r="U12" s="35"/>
      <c r="V12" s="35">
        <v>1974931</v>
      </c>
      <c r="W12" s="35">
        <v>2856522</v>
      </c>
      <c r="X12" s="35">
        <v>1468793</v>
      </c>
      <c r="Y12" s="35"/>
      <c r="Z12" s="35"/>
      <c r="AA12" s="35"/>
      <c r="AB12" s="35"/>
      <c r="AC12" s="35"/>
      <c r="AD12" s="35"/>
      <c r="AE12" s="35"/>
      <c r="AF12" s="35"/>
      <c r="AG12" s="35">
        <v>2856426</v>
      </c>
      <c r="AH12" s="35"/>
      <c r="AI12" s="35">
        <f t="shared" si="0"/>
        <v>9327548</v>
      </c>
    </row>
    <row r="13" spans="1:35" s="1" customFormat="1" x14ac:dyDescent="0.25">
      <c r="A13" s="36" t="s">
        <v>104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71"/>
    </row>
    <row r="14" spans="1:35" x14ac:dyDescent="0.25">
      <c r="A14" s="38" t="s">
        <v>105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>
        <v>112847</v>
      </c>
      <c r="W14" s="39">
        <v>447264</v>
      </c>
      <c r="X14" s="39">
        <v>282716</v>
      </c>
      <c r="Y14" s="39"/>
      <c r="Z14" s="39"/>
      <c r="AA14" s="39"/>
      <c r="AB14" s="39"/>
      <c r="AC14" s="39"/>
      <c r="AD14" s="39"/>
      <c r="AE14" s="39"/>
      <c r="AF14" s="39"/>
      <c r="AG14" s="39">
        <v>687721</v>
      </c>
      <c r="AH14" s="39"/>
      <c r="AI14" s="71">
        <f t="shared" si="0"/>
        <v>1530548</v>
      </c>
    </row>
    <row r="15" spans="1:35" x14ac:dyDescent="0.25">
      <c r="A15" s="38" t="s">
        <v>106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71">
        <f t="shared" si="0"/>
        <v>0</v>
      </c>
    </row>
    <row r="16" spans="1:35" x14ac:dyDescent="0.25">
      <c r="A16" s="38" t="s">
        <v>107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71">
        <f t="shared" si="0"/>
        <v>0</v>
      </c>
    </row>
    <row r="17" spans="1:35" x14ac:dyDescent="0.25">
      <c r="A17" s="38" t="s">
        <v>108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>
        <v>302022</v>
      </c>
      <c r="W17" s="39"/>
      <c r="X17" s="39">
        <v>153350</v>
      </c>
      <c r="Y17" s="39"/>
      <c r="Z17" s="39"/>
      <c r="AA17" s="39"/>
      <c r="AB17" s="39"/>
      <c r="AC17" s="39"/>
      <c r="AD17" s="39"/>
      <c r="AE17" s="39"/>
      <c r="AF17" s="39"/>
      <c r="AG17" s="39">
        <v>180848</v>
      </c>
      <c r="AH17" s="39"/>
      <c r="AI17" s="71">
        <f t="shared" si="0"/>
        <v>636220</v>
      </c>
    </row>
    <row r="18" spans="1:35" x14ac:dyDescent="0.25">
      <c r="A18" s="38" t="s">
        <v>109</v>
      </c>
      <c r="B18" s="39"/>
      <c r="C18" s="39"/>
      <c r="D18" s="39">
        <v>111036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>
        <v>59840</v>
      </c>
      <c r="U18" s="39"/>
      <c r="V18" s="39">
        <v>1560062</v>
      </c>
      <c r="W18" s="39">
        <v>2409258</v>
      </c>
      <c r="X18" s="39">
        <v>1032727</v>
      </c>
      <c r="Y18" s="39"/>
      <c r="Z18" s="39"/>
      <c r="AA18" s="39"/>
      <c r="AB18" s="39"/>
      <c r="AC18" s="39"/>
      <c r="AD18" s="39"/>
      <c r="AE18" s="39"/>
      <c r="AF18" s="39"/>
      <c r="AG18" s="39">
        <v>1987857</v>
      </c>
      <c r="AH18" s="39"/>
      <c r="AI18" s="71">
        <f t="shared" si="0"/>
        <v>7160780</v>
      </c>
    </row>
    <row r="19" spans="1:35" s="33" customFormat="1" x14ac:dyDescent="0.25">
      <c r="A19" s="34" t="s">
        <v>61</v>
      </c>
      <c r="B19" s="35"/>
      <c r="C19" s="35"/>
      <c r="D19" s="35">
        <v>111036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59840</v>
      </c>
      <c r="U19" s="35"/>
      <c r="V19" s="35">
        <v>1974931</v>
      </c>
      <c r="W19" s="35">
        <v>2856522</v>
      </c>
      <c r="X19" s="35">
        <v>1468793</v>
      </c>
      <c r="Y19" s="35"/>
      <c r="Z19" s="35"/>
      <c r="AA19" s="35"/>
      <c r="AB19" s="35"/>
      <c r="AC19" s="35"/>
      <c r="AD19" s="35"/>
      <c r="AE19" s="35"/>
      <c r="AF19" s="35"/>
      <c r="AG19" s="35">
        <v>2856426</v>
      </c>
      <c r="AH19" s="35"/>
      <c r="AI19" s="35">
        <f t="shared" si="0"/>
        <v>9327548</v>
      </c>
    </row>
    <row r="20" spans="1:35" s="1" customFormat="1" x14ac:dyDescent="0.25">
      <c r="A20" s="36" t="s">
        <v>110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71"/>
    </row>
    <row r="21" spans="1:35" x14ac:dyDescent="0.25">
      <c r="A21" s="38" t="s">
        <v>111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71">
        <f t="shared" si="0"/>
        <v>0</v>
      </c>
    </row>
    <row r="22" spans="1:35" x14ac:dyDescent="0.25">
      <c r="A22" s="38" t="s">
        <v>100</v>
      </c>
      <c r="B22" s="39"/>
      <c r="C22" s="39"/>
      <c r="D22" s="39">
        <v>111036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>
        <v>338503</v>
      </c>
      <c r="P22" s="39"/>
      <c r="Q22" s="39"/>
      <c r="R22" s="39"/>
      <c r="S22" s="39"/>
      <c r="T22" s="39">
        <v>59840</v>
      </c>
      <c r="U22" s="39"/>
      <c r="V22" s="39">
        <v>1683594</v>
      </c>
      <c r="W22" s="39">
        <v>2856522</v>
      </c>
      <c r="X22" s="39">
        <v>1326233</v>
      </c>
      <c r="Y22" s="39"/>
      <c r="Z22" s="39"/>
      <c r="AA22" s="39"/>
      <c r="AB22" s="39"/>
      <c r="AC22" s="39"/>
      <c r="AD22" s="39"/>
      <c r="AE22" s="39"/>
      <c r="AF22" s="39"/>
      <c r="AG22" s="39">
        <v>2680660</v>
      </c>
      <c r="AH22" s="39"/>
      <c r="AI22" s="71">
        <f t="shared" si="0"/>
        <v>9056388</v>
      </c>
    </row>
    <row r="23" spans="1:35" x14ac:dyDescent="0.25">
      <c r="A23" s="38" t="s">
        <v>101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71">
        <f t="shared" si="0"/>
        <v>0</v>
      </c>
    </row>
    <row r="24" spans="1:35" x14ac:dyDescent="0.25">
      <c r="A24" s="38" t="s">
        <v>112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71">
        <f t="shared" si="0"/>
        <v>0</v>
      </c>
    </row>
    <row r="25" spans="1:35" x14ac:dyDescent="0.25">
      <c r="A25" s="38" t="s">
        <v>100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>
        <v>291337</v>
      </c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>
        <v>175766</v>
      </c>
      <c r="AH25" s="39"/>
      <c r="AI25" s="71">
        <f t="shared" si="0"/>
        <v>467103</v>
      </c>
    </row>
    <row r="26" spans="1:35" x14ac:dyDescent="0.25">
      <c r="A26" s="38" t="s">
        <v>101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71">
        <f t="shared" si="0"/>
        <v>0</v>
      </c>
    </row>
    <row r="27" spans="1:35" x14ac:dyDescent="0.25">
      <c r="A27" s="38" t="s">
        <v>178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39"/>
      <c r="Q27" s="39"/>
      <c r="R27" s="39"/>
      <c r="S27" s="39"/>
      <c r="T27" s="39"/>
      <c r="U27" s="39"/>
      <c r="V27" s="39"/>
      <c r="W27" s="39"/>
      <c r="X27" s="39">
        <v>142560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71">
        <f t="shared" si="0"/>
        <v>142560</v>
      </c>
    </row>
    <row r="28" spans="1:35" s="33" customFormat="1" x14ac:dyDescent="0.25">
      <c r="A28" s="34" t="s">
        <v>61</v>
      </c>
      <c r="B28" s="35"/>
      <c r="C28" s="35"/>
      <c r="D28" s="35">
        <v>111036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v>59840</v>
      </c>
      <c r="U28" s="35"/>
      <c r="V28" s="35">
        <v>1974931</v>
      </c>
      <c r="W28" s="35">
        <v>2856522</v>
      </c>
      <c r="X28" s="35">
        <v>1468793</v>
      </c>
      <c r="Y28" s="35"/>
      <c r="Z28" s="35"/>
      <c r="AA28" s="35"/>
      <c r="AB28" s="35"/>
      <c r="AC28" s="35"/>
      <c r="AD28" s="35"/>
      <c r="AE28" s="35"/>
      <c r="AF28" s="35"/>
      <c r="AG28" s="35">
        <v>2856426</v>
      </c>
      <c r="AH28" s="35"/>
      <c r="AI28" s="35">
        <f t="shared" si="0"/>
        <v>9327548</v>
      </c>
    </row>
    <row r="29" spans="1:35" s="1" customFormat="1" x14ac:dyDescent="0.25">
      <c r="A29" s="36" t="s">
        <v>113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71"/>
    </row>
    <row r="30" spans="1:35" x14ac:dyDescent="0.25">
      <c r="A30" s="38" t="s">
        <v>114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>
        <v>5498</v>
      </c>
      <c r="W30" s="39">
        <v>89592</v>
      </c>
      <c r="X30" s="39">
        <v>54172</v>
      </c>
      <c r="Y30" s="39"/>
      <c r="Z30" s="39"/>
      <c r="AA30" s="39"/>
      <c r="AB30" s="39"/>
      <c r="AC30" s="39"/>
      <c r="AD30" s="39"/>
      <c r="AE30" s="39"/>
      <c r="AF30" s="39"/>
      <c r="AG30" s="39">
        <v>107287</v>
      </c>
      <c r="AH30" s="39"/>
      <c r="AI30" s="71">
        <f t="shared" si="0"/>
        <v>256549</v>
      </c>
    </row>
    <row r="31" spans="1:35" x14ac:dyDescent="0.25">
      <c r="A31" s="38" t="s">
        <v>115</v>
      </c>
      <c r="B31" s="39"/>
      <c r="C31" s="39"/>
      <c r="D31" s="39">
        <v>111036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>
        <v>59840</v>
      </c>
      <c r="U31" s="39"/>
      <c r="V31" s="39">
        <v>1969433</v>
      </c>
      <c r="W31" s="39">
        <v>2766930</v>
      </c>
      <c r="X31" s="39">
        <v>1414621</v>
      </c>
      <c r="Y31" s="39"/>
      <c r="Z31" s="39"/>
      <c r="AA31" s="39"/>
      <c r="AB31" s="39"/>
      <c r="AC31" s="39"/>
      <c r="AD31" s="39"/>
      <c r="AE31" s="39"/>
      <c r="AF31" s="39"/>
      <c r="AG31" s="39">
        <v>2749139</v>
      </c>
      <c r="AH31" s="39"/>
      <c r="AI31" s="71">
        <f t="shared" si="0"/>
        <v>9070999</v>
      </c>
    </row>
    <row r="32" spans="1:35" s="33" customFormat="1" x14ac:dyDescent="0.25">
      <c r="A32" s="34" t="s">
        <v>61</v>
      </c>
      <c r="B32" s="35"/>
      <c r="C32" s="35"/>
      <c r="D32" s="35">
        <v>111036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>
        <v>59840</v>
      </c>
      <c r="U32" s="35"/>
      <c r="V32" s="35">
        <v>1974931</v>
      </c>
      <c r="W32" s="35">
        <v>2856522</v>
      </c>
      <c r="X32" s="35">
        <v>1468793</v>
      </c>
      <c r="Y32" s="35"/>
      <c r="Z32" s="35"/>
      <c r="AA32" s="35"/>
      <c r="AB32" s="35"/>
      <c r="AC32" s="35"/>
      <c r="AD32" s="35"/>
      <c r="AE32" s="35"/>
      <c r="AF32" s="35"/>
      <c r="AG32" s="35">
        <v>2856426</v>
      </c>
      <c r="AH32" s="35"/>
      <c r="AI32" s="35">
        <f t="shared" si="0"/>
        <v>9327548</v>
      </c>
    </row>
    <row r="33" spans="15:15" x14ac:dyDescent="0.25">
      <c r="O33" s="18"/>
    </row>
    <row r="34" spans="15:15" x14ac:dyDescent="0.25">
      <c r="O34" s="3"/>
    </row>
    <row r="35" spans="15:15" x14ac:dyDescent="0.25">
      <c r="O35" s="18"/>
    </row>
    <row r="36" spans="15:15" x14ac:dyDescent="0.25">
      <c r="O36" s="3"/>
    </row>
    <row r="37" spans="15:15" x14ac:dyDescent="0.25">
      <c r="O37" s="18"/>
    </row>
    <row r="38" spans="15:15" x14ac:dyDescent="0.25">
      <c r="O38" s="3"/>
    </row>
    <row r="39" spans="15:15" x14ac:dyDescent="0.25">
      <c r="O39" s="3"/>
    </row>
    <row r="40" spans="15:15" x14ac:dyDescent="0.25">
      <c r="O40" s="3"/>
    </row>
    <row r="41" spans="15:15" x14ac:dyDescent="0.25">
      <c r="O41" s="3"/>
    </row>
    <row r="42" spans="15:15" x14ac:dyDescent="0.25">
      <c r="O42" s="18"/>
    </row>
    <row r="43" spans="15:15" x14ac:dyDescent="0.25">
      <c r="O43" s="18"/>
    </row>
    <row r="44" spans="15:15" x14ac:dyDescent="0.25">
      <c r="O44" s="3"/>
    </row>
    <row r="45" spans="15:15" x14ac:dyDescent="0.25">
      <c r="O45" s="19"/>
    </row>
    <row r="46" spans="15:15" x14ac:dyDescent="0.25">
      <c r="O46" s="3"/>
    </row>
    <row r="47" spans="15:15" x14ac:dyDescent="0.25">
      <c r="O47" s="3"/>
    </row>
    <row r="48" spans="15:15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16">
        <v>18168181</v>
      </c>
    </row>
    <row r="52" spans="15:15" x14ac:dyDescent="0.25">
      <c r="O52" s="16">
        <v>6100204</v>
      </c>
    </row>
    <row r="53" spans="15:15" x14ac:dyDescent="0.25">
      <c r="O53" s="3"/>
    </row>
    <row r="54" spans="15:15" x14ac:dyDescent="0.25">
      <c r="O54" s="3"/>
    </row>
    <row r="55" spans="15:15" x14ac:dyDescent="0.25">
      <c r="O55" s="16">
        <v>2600514</v>
      </c>
    </row>
    <row r="56" spans="15:15" x14ac:dyDescent="0.25">
      <c r="O56" s="16">
        <v>53757</v>
      </c>
    </row>
    <row r="57" spans="15:15" x14ac:dyDescent="0.25">
      <c r="O57" s="3"/>
    </row>
    <row r="58" spans="15:15" x14ac:dyDescent="0.25">
      <c r="O58" s="3"/>
    </row>
    <row r="59" spans="15:15" x14ac:dyDescent="0.25">
      <c r="O59" s="16">
        <v>10704856</v>
      </c>
    </row>
    <row r="60" spans="15:15" x14ac:dyDescent="0.25">
      <c r="O60" s="3"/>
    </row>
    <row r="61" spans="15:15" x14ac:dyDescent="0.25">
      <c r="O61" s="16">
        <v>336110</v>
      </c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5:15" x14ac:dyDescent="0.25">
      <c r="O65" s="16">
        <v>17948264</v>
      </c>
    </row>
    <row r="66" spans="15:15" x14ac:dyDescent="0.25">
      <c r="O66" s="3">
        <v>973343</v>
      </c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16">
        <v>1375959</v>
      </c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16">
        <v>2335077</v>
      </c>
    </row>
    <row r="77" spans="15:15" x14ac:dyDescent="0.25">
      <c r="O77" s="3"/>
    </row>
    <row r="78" spans="15:15" x14ac:dyDescent="0.25">
      <c r="O78" s="16">
        <v>1487508</v>
      </c>
    </row>
    <row r="79" spans="15:15" x14ac:dyDescent="0.25">
      <c r="O79" s="3"/>
    </row>
    <row r="80" spans="15:15" x14ac:dyDescent="0.25">
      <c r="O80" s="16">
        <v>1413880</v>
      </c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16">
        <v>4376443</v>
      </c>
    </row>
    <row r="86" spans="15:15" x14ac:dyDescent="0.25">
      <c r="O86" s="16">
        <v>418995</v>
      </c>
    </row>
    <row r="88" spans="15:15" x14ac:dyDescent="0.25">
      <c r="O88" s="20">
        <v>68293089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2" sqref="B2"/>
    </sheetView>
  </sheetViews>
  <sheetFormatPr defaultRowHeight="15" x14ac:dyDescent="0.25"/>
  <cols>
    <col min="1" max="1" width="31.140625" style="6" customWidth="1"/>
    <col min="2" max="35" width="16" style="4" customWidth="1"/>
    <col min="36" max="16384" width="9.140625" style="4"/>
  </cols>
  <sheetData>
    <row r="1" spans="1:35" ht="37.5" x14ac:dyDescent="0.3">
      <c r="A1" s="28" t="s">
        <v>201</v>
      </c>
    </row>
    <row r="2" spans="1:35" x14ac:dyDescent="0.25">
      <c r="A2" s="6" t="s">
        <v>43</v>
      </c>
    </row>
    <row r="3" spans="1:35" s="22" customFormat="1" x14ac:dyDescent="0.25">
      <c r="A3" s="27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19</v>
      </c>
      <c r="U3" s="26" t="s">
        <v>20</v>
      </c>
      <c r="V3" s="26" t="s">
        <v>21</v>
      </c>
      <c r="W3" s="26" t="s">
        <v>161</v>
      </c>
      <c r="X3" s="26" t="s">
        <v>162</v>
      </c>
      <c r="Y3" s="26" t="s">
        <v>22</v>
      </c>
      <c r="Z3" s="26" t="s">
        <v>23</v>
      </c>
      <c r="AA3" s="26" t="s">
        <v>24</v>
      </c>
      <c r="AB3" s="26" t="s">
        <v>25</v>
      </c>
      <c r="AC3" s="26" t="s">
        <v>26</v>
      </c>
      <c r="AD3" s="26" t="s">
        <v>27</v>
      </c>
      <c r="AE3" s="26" t="s">
        <v>28</v>
      </c>
      <c r="AF3" s="26" t="s">
        <v>29</v>
      </c>
      <c r="AG3" s="26" t="s">
        <v>30</v>
      </c>
      <c r="AH3" s="26" t="s">
        <v>31</v>
      </c>
      <c r="AI3" s="68" t="s">
        <v>304</v>
      </c>
    </row>
    <row r="4" spans="1:35" x14ac:dyDescent="0.25">
      <c r="A4" s="25" t="s">
        <v>116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>
        <f>SUM(B4:AH4)</f>
        <v>0</v>
      </c>
    </row>
    <row r="5" spans="1:35" x14ac:dyDescent="0.25">
      <c r="A5" s="25" t="s">
        <v>117</v>
      </c>
      <c r="B5" s="21">
        <v>2353</v>
      </c>
      <c r="C5" s="21">
        <v>333232</v>
      </c>
      <c r="D5" s="21">
        <v>24640</v>
      </c>
      <c r="E5" s="21">
        <v>140749</v>
      </c>
      <c r="F5" s="21">
        <v>109601</v>
      </c>
      <c r="G5" s="21">
        <v>35113</v>
      </c>
      <c r="H5" s="21">
        <v>146143</v>
      </c>
      <c r="I5" s="21">
        <v>26905</v>
      </c>
      <c r="J5" s="21">
        <f>311014+366094</f>
        <v>677108</v>
      </c>
      <c r="K5" s="21">
        <v>76433</v>
      </c>
      <c r="L5" s="21">
        <v>7855.95</v>
      </c>
      <c r="M5" s="21">
        <v>42857</v>
      </c>
      <c r="N5" s="21">
        <v>17031</v>
      </c>
      <c r="O5" s="21">
        <v>246884</v>
      </c>
      <c r="P5" s="21">
        <v>634866</v>
      </c>
      <c r="Q5" s="21">
        <v>103580</v>
      </c>
      <c r="R5" s="21">
        <v>20322</v>
      </c>
      <c r="S5" s="21">
        <v>118239</v>
      </c>
      <c r="T5" s="21">
        <v>164804</v>
      </c>
      <c r="U5" s="21">
        <v>185266</v>
      </c>
      <c r="V5" s="21"/>
      <c r="W5" s="21">
        <v>756766</v>
      </c>
      <c r="X5" s="21">
        <v>205328</v>
      </c>
      <c r="Y5" s="21">
        <v>5030</v>
      </c>
      <c r="Z5" s="21">
        <v>70957</v>
      </c>
      <c r="AA5" s="21">
        <v>350110</v>
      </c>
      <c r="AB5" s="21">
        <v>71545</v>
      </c>
      <c r="AC5" s="21">
        <v>205862</v>
      </c>
      <c r="AD5" s="29">
        <v>14494</v>
      </c>
      <c r="AE5" s="21">
        <v>331664</v>
      </c>
      <c r="AF5" s="21">
        <v>436857</v>
      </c>
      <c r="AG5" s="21">
        <v>78374</v>
      </c>
      <c r="AH5" s="21">
        <v>27489</v>
      </c>
      <c r="AI5" s="21">
        <f t="shared" ref="AI5:AI19" si="0">SUM(B5:AH5)</f>
        <v>5668457.9500000002</v>
      </c>
    </row>
    <row r="6" spans="1:35" x14ac:dyDescent="0.25">
      <c r="A6" s="25" t="s">
        <v>118</v>
      </c>
      <c r="B6" s="21"/>
      <c r="C6" s="21"/>
      <c r="D6" s="21"/>
      <c r="E6" s="21"/>
      <c r="F6" s="21"/>
      <c r="G6" s="21"/>
      <c r="H6" s="21">
        <v>58032</v>
      </c>
      <c r="I6" s="21"/>
      <c r="J6" s="21"/>
      <c r="K6" s="21"/>
      <c r="L6" s="21">
        <v>748152.33</v>
      </c>
      <c r="M6" s="21"/>
      <c r="N6" s="21"/>
      <c r="O6" s="21"/>
      <c r="P6" s="21">
        <v>2411770</v>
      </c>
      <c r="Q6" s="21">
        <v>37849</v>
      </c>
      <c r="R6" s="21"/>
      <c r="S6" s="21"/>
      <c r="T6" s="21"/>
      <c r="U6" s="21"/>
      <c r="V6" s="21"/>
      <c r="W6" s="21">
        <v>136316</v>
      </c>
      <c r="X6" s="21">
        <v>1109</v>
      </c>
      <c r="Y6" s="21"/>
      <c r="Z6" s="21"/>
      <c r="AA6" s="21"/>
      <c r="AB6" s="21"/>
      <c r="AC6" s="21"/>
      <c r="AD6" s="29">
        <v>215149</v>
      </c>
      <c r="AE6" s="21">
        <v>11600</v>
      </c>
      <c r="AF6" s="21"/>
      <c r="AG6" s="21">
        <v>77209</v>
      </c>
      <c r="AH6" s="21"/>
      <c r="AI6" s="21">
        <f t="shared" si="0"/>
        <v>3697186.33</v>
      </c>
    </row>
    <row r="7" spans="1:35" x14ac:dyDescent="0.25">
      <c r="A7" s="25" t="s">
        <v>119</v>
      </c>
      <c r="B7" s="21"/>
      <c r="C7" s="21"/>
      <c r="D7" s="21"/>
      <c r="E7" s="21"/>
      <c r="F7" s="21">
        <v>45178</v>
      </c>
      <c r="G7" s="21">
        <v>21842</v>
      </c>
      <c r="H7" s="21"/>
      <c r="I7" s="21">
        <v>5512</v>
      </c>
      <c r="J7" s="21">
        <v>42259</v>
      </c>
      <c r="K7" s="21">
        <v>1680</v>
      </c>
      <c r="L7" s="21">
        <v>53937.55</v>
      </c>
      <c r="M7" s="21"/>
      <c r="N7" s="21">
        <v>124</v>
      </c>
      <c r="O7" s="21">
        <v>28252</v>
      </c>
      <c r="P7" s="21"/>
      <c r="Q7" s="21"/>
      <c r="R7" s="21">
        <v>2324</v>
      </c>
      <c r="S7" s="21">
        <v>13991</v>
      </c>
      <c r="T7" s="21">
        <v>16396</v>
      </c>
      <c r="U7" s="21">
        <v>10277</v>
      </c>
      <c r="V7" s="21"/>
      <c r="W7" s="21">
        <v>269775</v>
      </c>
      <c r="Y7" s="21">
        <v>418</v>
      </c>
      <c r="Z7" s="21">
        <v>15485</v>
      </c>
      <c r="AA7" s="21">
        <v>10999</v>
      </c>
      <c r="AB7" s="21">
        <v>77077</v>
      </c>
      <c r="AC7" s="21">
        <v>101025</v>
      </c>
      <c r="AD7" s="29">
        <v>17732</v>
      </c>
      <c r="AE7" s="21"/>
      <c r="AF7" s="21">
        <v>75932</v>
      </c>
      <c r="AG7" s="21">
        <v>31091</v>
      </c>
      <c r="AH7" s="21">
        <v>2588</v>
      </c>
      <c r="AI7" s="21">
        <f t="shared" si="0"/>
        <v>843894.55</v>
      </c>
    </row>
    <row r="8" spans="1:35" x14ac:dyDescent="0.25">
      <c r="A8" s="25" t="s">
        <v>379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>
        <v>35893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>
        <v>104232</v>
      </c>
      <c r="Y8" s="21"/>
      <c r="Z8" s="21"/>
      <c r="AA8" s="21"/>
      <c r="AB8" s="21"/>
      <c r="AC8" s="21"/>
      <c r="AD8" s="29"/>
      <c r="AE8" s="21"/>
      <c r="AF8" s="21"/>
      <c r="AG8" s="21">
        <v>45590</v>
      </c>
      <c r="AH8" s="21"/>
      <c r="AI8" s="21">
        <f t="shared" si="0"/>
        <v>185715</v>
      </c>
    </row>
    <row r="9" spans="1:35" x14ac:dyDescent="0.25">
      <c r="A9" s="25" t="s">
        <v>257</v>
      </c>
      <c r="B9" s="21"/>
      <c r="C9" s="21"/>
      <c r="D9" s="21">
        <v>1364719</v>
      </c>
      <c r="E9" s="21"/>
      <c r="F9" s="21">
        <v>2314350</v>
      </c>
      <c r="G9" s="21"/>
      <c r="H9" s="21">
        <v>323161</v>
      </c>
      <c r="I9" s="21"/>
      <c r="J9" s="21"/>
      <c r="K9" s="21"/>
      <c r="L9" s="21">
        <v>298525.27</v>
      </c>
      <c r="M9" s="21"/>
      <c r="N9" s="21"/>
      <c r="O9" s="21">
        <v>1158814</v>
      </c>
      <c r="P9" s="21">
        <v>168293</v>
      </c>
      <c r="Q9" s="21">
        <v>10489</v>
      </c>
      <c r="R9" s="21"/>
      <c r="S9" s="21"/>
      <c r="T9" s="21"/>
      <c r="U9" s="21"/>
      <c r="V9" s="21"/>
      <c r="W9" s="21">
        <v>967302</v>
      </c>
      <c r="X9" s="21">
        <v>616993</v>
      </c>
      <c r="Y9" s="21"/>
      <c r="Z9" s="21"/>
      <c r="AA9" s="21"/>
      <c r="AB9" s="21"/>
      <c r="AC9" s="21"/>
      <c r="AD9" s="29">
        <v>149426</v>
      </c>
      <c r="AE9" s="21"/>
      <c r="AF9" s="21">
        <v>791178</v>
      </c>
      <c r="AG9" s="21">
        <v>376525</v>
      </c>
      <c r="AH9" s="21"/>
      <c r="AI9" s="21">
        <f t="shared" si="0"/>
        <v>8539775.2699999996</v>
      </c>
    </row>
    <row r="10" spans="1:35" x14ac:dyDescent="0.25">
      <c r="A10" s="25" t="s">
        <v>120</v>
      </c>
      <c r="B10" s="21">
        <v>4401</v>
      </c>
      <c r="C10" s="21">
        <v>7203</v>
      </c>
      <c r="D10" s="21">
        <v>9817</v>
      </c>
      <c r="E10" s="21">
        <v>15593</v>
      </c>
      <c r="F10" s="21">
        <v>138985</v>
      </c>
      <c r="G10" s="21">
        <v>4777</v>
      </c>
      <c r="H10" s="21">
        <v>4230</v>
      </c>
      <c r="I10" s="21">
        <v>6938</v>
      </c>
      <c r="J10" s="21">
        <v>9751</v>
      </c>
      <c r="K10" s="21">
        <v>67</v>
      </c>
      <c r="L10" s="21">
        <v>31652.29</v>
      </c>
      <c r="M10" s="21">
        <v>6437</v>
      </c>
      <c r="N10" s="21"/>
      <c r="O10" s="21">
        <v>185033</v>
      </c>
      <c r="P10" s="21">
        <v>362052</v>
      </c>
      <c r="Q10" s="21">
        <v>85909</v>
      </c>
      <c r="R10" s="21">
        <v>59</v>
      </c>
      <c r="S10" s="21">
        <v>1234</v>
      </c>
      <c r="T10" s="21">
        <v>475</v>
      </c>
      <c r="U10" s="21">
        <v>2580</v>
      </c>
      <c r="V10" s="21"/>
      <c r="W10" s="21">
        <v>239422</v>
      </c>
      <c r="X10" s="21">
        <v>85191</v>
      </c>
      <c r="Y10" s="21">
        <v>253</v>
      </c>
      <c r="Z10" s="21">
        <v>19769</v>
      </c>
      <c r="AA10" s="21">
        <v>718</v>
      </c>
      <c r="AB10" s="21">
        <v>10919</v>
      </c>
      <c r="AC10" s="21">
        <v>11091</v>
      </c>
      <c r="AD10" s="21">
        <v>33917</v>
      </c>
      <c r="AE10" s="21">
        <v>176600</v>
      </c>
      <c r="AF10" s="21">
        <v>19057</v>
      </c>
      <c r="AG10" s="21">
        <v>68192</v>
      </c>
      <c r="AH10" s="21">
        <v>21155</v>
      </c>
      <c r="AI10" s="21">
        <f t="shared" si="0"/>
        <v>1563477.29</v>
      </c>
    </row>
    <row r="11" spans="1:35" x14ac:dyDescent="0.25">
      <c r="A11" s="25" t="s">
        <v>196</v>
      </c>
      <c r="B11" s="21">
        <v>8030</v>
      </c>
      <c r="C11" s="21">
        <v>79424</v>
      </c>
      <c r="D11" s="21">
        <v>18730</v>
      </c>
      <c r="E11" s="21">
        <v>98346</v>
      </c>
      <c r="F11" s="21">
        <v>323594</v>
      </c>
      <c r="G11" s="21">
        <v>117790</v>
      </c>
      <c r="H11" s="21">
        <v>62610</v>
      </c>
      <c r="I11" s="21">
        <v>24804</v>
      </c>
      <c r="J11" s="21">
        <v>165111</v>
      </c>
      <c r="K11" s="21">
        <v>6123</v>
      </c>
      <c r="L11" s="21">
        <v>16337.96</v>
      </c>
      <c r="M11" s="21">
        <v>37797</v>
      </c>
      <c r="N11" s="21">
        <v>30042</v>
      </c>
      <c r="O11" s="21">
        <v>220160</v>
      </c>
      <c r="P11" s="21">
        <v>129869</v>
      </c>
      <c r="Q11" s="21">
        <v>101741</v>
      </c>
      <c r="R11" s="21">
        <v>14114</v>
      </c>
      <c r="S11" s="21">
        <v>33512</v>
      </c>
      <c r="T11" s="21">
        <v>18303</v>
      </c>
      <c r="U11" s="21">
        <f>40083+33109</f>
        <v>73192</v>
      </c>
      <c r="V11" s="21"/>
      <c r="W11" s="21">
        <v>991543</v>
      </c>
      <c r="X11" s="21">
        <v>491741</v>
      </c>
      <c r="Y11" s="21">
        <v>8930</v>
      </c>
      <c r="Z11" s="21">
        <v>94351</v>
      </c>
      <c r="AA11" s="21">
        <v>88650</v>
      </c>
      <c r="AB11" s="21">
        <f>58497+29017</f>
        <v>87514</v>
      </c>
      <c r="AC11" s="21">
        <v>240109</v>
      </c>
      <c r="AD11" s="21">
        <v>27067</v>
      </c>
      <c r="AE11" s="21">
        <v>181924</v>
      </c>
      <c r="AF11" s="21">
        <v>315229</v>
      </c>
      <c r="AG11" s="21">
        <v>118263</v>
      </c>
      <c r="AH11" s="21">
        <v>306661</v>
      </c>
      <c r="AI11" s="21">
        <f t="shared" si="0"/>
        <v>4531611.96</v>
      </c>
    </row>
    <row r="12" spans="1:35" x14ac:dyDescent="0.25">
      <c r="A12" s="25" t="s">
        <v>197</v>
      </c>
      <c r="B12" s="21"/>
      <c r="C12" s="21">
        <v>9894</v>
      </c>
      <c r="D12" s="21">
        <v>16255</v>
      </c>
      <c r="E12" s="21">
        <v>10988</v>
      </c>
      <c r="F12" s="21">
        <v>27321</v>
      </c>
      <c r="G12" s="21"/>
      <c r="H12" s="21">
        <v>20272</v>
      </c>
      <c r="I12" s="21"/>
      <c r="J12" s="21"/>
      <c r="K12" s="21"/>
      <c r="L12" s="21">
        <v>5218.3599999999997</v>
      </c>
      <c r="M12" s="21">
        <v>2799</v>
      </c>
      <c r="N12" s="21"/>
      <c r="O12" s="21">
        <v>109570</v>
      </c>
      <c r="P12" s="21">
        <v>110197</v>
      </c>
      <c r="Q12" s="21">
        <v>9717</v>
      </c>
      <c r="R12" s="21">
        <v>25199</v>
      </c>
      <c r="S12" s="21">
        <v>4157</v>
      </c>
      <c r="T12" s="21">
        <v>3286</v>
      </c>
      <c r="U12" s="21"/>
      <c r="V12" s="21"/>
      <c r="W12" s="21">
        <v>1111200</v>
      </c>
      <c r="X12" s="21">
        <v>565463</v>
      </c>
      <c r="Y12" s="21">
        <v>733</v>
      </c>
      <c r="Z12" s="21">
        <v>12315</v>
      </c>
      <c r="AA12" s="21">
        <v>205</v>
      </c>
      <c r="AB12" s="21">
        <v>3435</v>
      </c>
      <c r="AC12" s="21">
        <v>1186</v>
      </c>
      <c r="AD12" s="21">
        <v>406</v>
      </c>
      <c r="AE12" s="21">
        <v>16802</v>
      </c>
      <c r="AF12" s="21">
        <v>32608</v>
      </c>
      <c r="AG12" s="21">
        <v>465521</v>
      </c>
      <c r="AH12" s="21">
        <v>8001</v>
      </c>
      <c r="AI12" s="21">
        <f t="shared" si="0"/>
        <v>2572748.36</v>
      </c>
    </row>
    <row r="13" spans="1:35" x14ac:dyDescent="0.25">
      <c r="A13" s="25" t="s">
        <v>121</v>
      </c>
      <c r="B13" s="21">
        <v>951</v>
      </c>
      <c r="C13" s="21">
        <v>28076</v>
      </c>
      <c r="D13" s="21">
        <v>2066</v>
      </c>
      <c r="E13" s="21">
        <v>13637</v>
      </c>
      <c r="F13" s="21">
        <v>61991</v>
      </c>
      <c r="G13" s="21">
        <v>7990</v>
      </c>
      <c r="H13" s="21">
        <v>5292</v>
      </c>
      <c r="I13" s="21">
        <v>5404</v>
      </c>
      <c r="J13" s="21">
        <v>10621</v>
      </c>
      <c r="K13" s="21">
        <v>957</v>
      </c>
      <c r="L13" s="21">
        <v>19732.21</v>
      </c>
      <c r="M13" s="21">
        <v>22780</v>
      </c>
      <c r="N13" s="21">
        <v>3693</v>
      </c>
      <c r="O13" s="21">
        <v>38033</v>
      </c>
      <c r="P13" s="21">
        <v>342018</v>
      </c>
      <c r="Q13" s="21">
        <v>21229</v>
      </c>
      <c r="R13" s="21">
        <v>1080</v>
      </c>
      <c r="S13" s="21">
        <v>10205</v>
      </c>
      <c r="T13" s="21">
        <v>1045</v>
      </c>
      <c r="U13" s="21">
        <v>13660</v>
      </c>
      <c r="V13" s="21"/>
      <c r="W13" s="21">
        <v>17540</v>
      </c>
      <c r="X13" s="21">
        <v>15012</v>
      </c>
      <c r="Y13" s="21">
        <v>267</v>
      </c>
      <c r="Z13" s="21">
        <v>35843</v>
      </c>
      <c r="AA13" s="21">
        <v>18151</v>
      </c>
      <c r="AB13" s="21">
        <v>15903</v>
      </c>
      <c r="AC13" s="21">
        <v>41595</v>
      </c>
      <c r="AD13" s="21">
        <v>28301</v>
      </c>
      <c r="AE13" s="21">
        <v>84132</v>
      </c>
      <c r="AF13" s="21">
        <v>52391</v>
      </c>
      <c r="AG13" s="21">
        <v>16685</v>
      </c>
      <c r="AH13" s="21">
        <v>5666</v>
      </c>
      <c r="AI13" s="21">
        <f t="shared" si="0"/>
        <v>941946.21</v>
      </c>
    </row>
    <row r="14" spans="1:35" x14ac:dyDescent="0.25">
      <c r="A14" s="25" t="s">
        <v>122</v>
      </c>
      <c r="B14" s="21"/>
      <c r="C14" s="21"/>
      <c r="D14" s="21">
        <v>3173</v>
      </c>
      <c r="E14" s="21"/>
      <c r="F14" s="21"/>
      <c r="G14" s="21"/>
      <c r="H14" s="21">
        <v>7120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>
        <v>4048</v>
      </c>
      <c r="U14" s="21"/>
      <c r="V14" s="21"/>
      <c r="W14" s="21"/>
      <c r="Y14" s="21"/>
      <c r="Z14" s="21">
        <v>32</v>
      </c>
      <c r="AA14" s="21"/>
      <c r="AB14" s="21"/>
      <c r="AC14" s="21"/>
      <c r="AD14" s="21"/>
      <c r="AE14" s="21"/>
      <c r="AF14" s="21"/>
      <c r="AG14" s="21">
        <v>88778</v>
      </c>
      <c r="AH14" s="21"/>
      <c r="AI14" s="21">
        <f t="shared" si="0"/>
        <v>103151</v>
      </c>
    </row>
    <row r="15" spans="1:35" x14ac:dyDescent="0.25">
      <c r="A15" s="25" t="s">
        <v>262</v>
      </c>
      <c r="B15" s="21"/>
      <c r="C15" s="21">
        <v>41673</v>
      </c>
      <c r="D15" s="21"/>
      <c r="E15" s="21"/>
      <c r="F15" s="21"/>
      <c r="G15" s="21"/>
      <c r="H15" s="21">
        <v>41659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>
        <v>150549</v>
      </c>
      <c r="X15" s="21">
        <v>54118</v>
      </c>
      <c r="Y15" s="21"/>
      <c r="Z15" s="21"/>
      <c r="AA15" s="21"/>
      <c r="AB15" s="21"/>
      <c r="AC15" s="21"/>
      <c r="AD15" s="21"/>
      <c r="AE15" s="21">
        <v>128</v>
      </c>
      <c r="AF15" s="21">
        <v>63708</v>
      </c>
      <c r="AG15" s="21">
        <v>72224</v>
      </c>
      <c r="AH15" s="21"/>
      <c r="AI15" s="21">
        <f t="shared" si="0"/>
        <v>424059</v>
      </c>
    </row>
    <row r="16" spans="1:35" s="15" customFormat="1" x14ac:dyDescent="0.25">
      <c r="A16" s="23" t="s">
        <v>61</v>
      </c>
      <c r="B16" s="24">
        <v>15735</v>
      </c>
      <c r="C16" s="24">
        <v>499502</v>
      </c>
      <c r="D16" s="24">
        <v>1439400</v>
      </c>
      <c r="E16" s="24">
        <v>279313</v>
      </c>
      <c r="F16" s="24">
        <v>3021020</v>
      </c>
      <c r="G16" s="24">
        <v>187512</v>
      </c>
      <c r="H16" s="24">
        <v>668519</v>
      </c>
      <c r="I16" s="24">
        <v>69563</v>
      </c>
      <c r="J16" s="24">
        <v>904850</v>
      </c>
      <c r="K16" s="24">
        <v>85260</v>
      </c>
      <c r="L16" s="24">
        <v>1181411.92</v>
      </c>
      <c r="M16" s="24">
        <v>148561</v>
      </c>
      <c r="N16" s="24">
        <v>50890</v>
      </c>
      <c r="O16" s="24">
        <v>1986749</v>
      </c>
      <c r="P16" s="24">
        <v>4159065</v>
      </c>
      <c r="Q16" s="24">
        <v>370514</v>
      </c>
      <c r="R16" s="24">
        <v>63098</v>
      </c>
      <c r="S16" s="24">
        <v>181338</v>
      </c>
      <c r="T16" s="24">
        <v>208357</v>
      </c>
      <c r="U16" s="24">
        <v>284975</v>
      </c>
      <c r="V16" s="24"/>
      <c r="W16" s="24">
        <v>4640413</v>
      </c>
      <c r="X16" s="24">
        <v>2139187</v>
      </c>
      <c r="Y16" s="24">
        <v>15631</v>
      </c>
      <c r="Z16" s="24">
        <v>248752</v>
      </c>
      <c r="AA16" s="24">
        <v>468832</v>
      </c>
      <c r="AB16" s="24">
        <v>266393</v>
      </c>
      <c r="AC16" s="24">
        <v>600868</v>
      </c>
      <c r="AD16" s="24">
        <v>486492</v>
      </c>
      <c r="AE16" s="24">
        <v>802850</v>
      </c>
      <c r="AF16" s="24">
        <v>1786960</v>
      </c>
      <c r="AG16" s="24">
        <v>1438452</v>
      </c>
      <c r="AH16" s="24">
        <v>371560</v>
      </c>
      <c r="AI16" s="24">
        <f t="shared" si="0"/>
        <v>29072022.920000002</v>
      </c>
    </row>
    <row r="17" spans="1:35" x14ac:dyDescent="0.25">
      <c r="A17" s="25" t="s">
        <v>123</v>
      </c>
      <c r="B17" s="21">
        <v>153</v>
      </c>
      <c r="C17" s="21">
        <v>8458</v>
      </c>
      <c r="D17" s="21">
        <v>1427406</v>
      </c>
      <c r="E17" s="21">
        <v>110031</v>
      </c>
      <c r="F17" s="21">
        <v>258787</v>
      </c>
      <c r="G17" s="21">
        <v>14300</v>
      </c>
      <c r="H17" s="21">
        <v>15836</v>
      </c>
      <c r="I17" s="21">
        <v>4079</v>
      </c>
      <c r="J17" s="21">
        <v>8722</v>
      </c>
      <c r="K17" s="21">
        <v>17906</v>
      </c>
      <c r="L17" s="21">
        <v>1129222.3400000001</v>
      </c>
      <c r="M17" s="21">
        <v>9657</v>
      </c>
      <c r="N17" s="21"/>
      <c r="O17" s="21">
        <v>135031</v>
      </c>
      <c r="P17" s="21">
        <v>126592</v>
      </c>
      <c r="Q17" s="21">
        <v>79112</v>
      </c>
      <c r="R17" s="21">
        <v>4992</v>
      </c>
      <c r="S17" s="21">
        <v>111571</v>
      </c>
      <c r="T17" s="21">
        <v>7795</v>
      </c>
      <c r="U17" s="21">
        <v>44696</v>
      </c>
      <c r="V17" s="21"/>
      <c r="W17" s="21">
        <v>472933</v>
      </c>
      <c r="X17" s="21">
        <v>3763752</v>
      </c>
      <c r="Y17" s="21">
        <v>6517</v>
      </c>
      <c r="Z17" s="21">
        <v>93782</v>
      </c>
      <c r="AA17" s="21">
        <v>589</v>
      </c>
      <c r="AB17" s="21">
        <v>27146</v>
      </c>
      <c r="AC17" s="21">
        <v>205932</v>
      </c>
      <c r="AD17" s="21">
        <v>801</v>
      </c>
      <c r="AE17" s="21">
        <v>182492</v>
      </c>
      <c r="AF17" s="21">
        <v>19694</v>
      </c>
      <c r="AG17" s="21">
        <v>798345</v>
      </c>
      <c r="AH17" s="21">
        <v>20422</v>
      </c>
      <c r="AI17" s="21">
        <f t="shared" si="0"/>
        <v>9106751.3399999999</v>
      </c>
    </row>
    <row r="18" spans="1:35" ht="30" x14ac:dyDescent="0.25">
      <c r="A18" s="25" t="s">
        <v>238</v>
      </c>
      <c r="B18" s="21"/>
      <c r="C18" s="21">
        <v>83674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>
        <f t="shared" si="0"/>
        <v>83674</v>
      </c>
    </row>
    <row r="19" spans="1:35" s="15" customFormat="1" x14ac:dyDescent="0.25">
      <c r="A19" s="23" t="s">
        <v>124</v>
      </c>
      <c r="B19" s="24">
        <v>15888</v>
      </c>
      <c r="C19" s="24">
        <v>591634</v>
      </c>
      <c r="D19" s="24">
        <v>2866806</v>
      </c>
      <c r="E19" s="24">
        <v>389344</v>
      </c>
      <c r="F19" s="24">
        <v>3279807</v>
      </c>
      <c r="G19" s="24">
        <v>201812</v>
      </c>
      <c r="H19" s="24">
        <v>684355</v>
      </c>
      <c r="I19" s="24">
        <v>73642</v>
      </c>
      <c r="J19" s="24">
        <v>913572</v>
      </c>
      <c r="K19" s="24">
        <v>103166</v>
      </c>
      <c r="L19" s="24">
        <v>2310634.2599999998</v>
      </c>
      <c r="M19" s="24">
        <v>158219</v>
      </c>
      <c r="N19" s="24">
        <v>50890</v>
      </c>
      <c r="O19" s="24">
        <v>2121780</v>
      </c>
      <c r="P19" s="24">
        <v>4285657</v>
      </c>
      <c r="Q19" s="24">
        <v>449626</v>
      </c>
      <c r="R19" s="24">
        <v>68090</v>
      </c>
      <c r="S19" s="24">
        <v>292909</v>
      </c>
      <c r="T19" s="24">
        <v>216152</v>
      </c>
      <c r="U19" s="24">
        <v>329671</v>
      </c>
      <c r="V19" s="24"/>
      <c r="W19" s="24">
        <v>5113346</v>
      </c>
      <c r="X19" s="24">
        <v>5902939</v>
      </c>
      <c r="Y19" s="24">
        <v>22148</v>
      </c>
      <c r="Z19" s="24">
        <v>342534</v>
      </c>
      <c r="AA19" s="24">
        <v>469421</v>
      </c>
      <c r="AB19" s="24">
        <v>293539</v>
      </c>
      <c r="AC19" s="24">
        <v>806800</v>
      </c>
      <c r="AD19" s="24">
        <v>487293</v>
      </c>
      <c r="AE19" s="24">
        <v>985342</v>
      </c>
      <c r="AF19" s="24">
        <v>1806654</v>
      </c>
      <c r="AG19" s="24">
        <v>2236797</v>
      </c>
      <c r="AH19" s="24">
        <v>391982</v>
      </c>
      <c r="AI19" s="24">
        <f t="shared" si="0"/>
        <v>38262449.259999998</v>
      </c>
    </row>
    <row r="20" spans="1:35" x14ac:dyDescent="0.25">
      <c r="O20" s="11"/>
    </row>
    <row r="21" spans="1:35" x14ac:dyDescent="0.25">
      <c r="O21" s="11"/>
    </row>
    <row r="22" spans="1:35" x14ac:dyDescent="0.25">
      <c r="O22" s="16"/>
    </row>
    <row r="23" spans="1:35" x14ac:dyDescent="0.25">
      <c r="O23" s="11"/>
    </row>
    <row r="24" spans="1:35" x14ac:dyDescent="0.25">
      <c r="O24" s="11"/>
    </row>
    <row r="25" spans="1:35" x14ac:dyDescent="0.25">
      <c r="O25" s="11"/>
    </row>
    <row r="26" spans="1:35" x14ac:dyDescent="0.25">
      <c r="O26" s="11"/>
    </row>
    <row r="27" spans="1:35" x14ac:dyDescent="0.25">
      <c r="O27" s="16"/>
    </row>
    <row r="28" spans="1:35" x14ac:dyDescent="0.25">
      <c r="O28" s="11"/>
    </row>
    <row r="29" spans="1:35" x14ac:dyDescent="0.25">
      <c r="O29" s="11"/>
    </row>
    <row r="30" spans="1:35" x14ac:dyDescent="0.25">
      <c r="O30" s="11"/>
    </row>
    <row r="31" spans="1:35" x14ac:dyDescent="0.25">
      <c r="O31" s="11"/>
    </row>
    <row r="32" spans="1:35" x14ac:dyDescent="0.25">
      <c r="O32" s="11"/>
    </row>
    <row r="33" spans="15:15" x14ac:dyDescent="0.25">
      <c r="O33" s="16"/>
    </row>
    <row r="34" spans="15:15" x14ac:dyDescent="0.25">
      <c r="O34" s="11"/>
    </row>
    <row r="35" spans="15:15" x14ac:dyDescent="0.25">
      <c r="O35" s="16"/>
    </row>
    <row r="36" spans="15:15" x14ac:dyDescent="0.25">
      <c r="O36" s="11"/>
    </row>
    <row r="37" spans="15:15" x14ac:dyDescent="0.25">
      <c r="O37" s="16"/>
    </row>
    <row r="38" spans="15:15" x14ac:dyDescent="0.25">
      <c r="O38" s="11"/>
    </row>
    <row r="39" spans="15:15" x14ac:dyDescent="0.25">
      <c r="O39" s="11"/>
    </row>
    <row r="40" spans="15:15" x14ac:dyDescent="0.25">
      <c r="O40" s="11"/>
    </row>
    <row r="41" spans="15:15" x14ac:dyDescent="0.25">
      <c r="O41" s="11"/>
    </row>
    <row r="42" spans="15:15" x14ac:dyDescent="0.25">
      <c r="O42" s="16"/>
    </row>
    <row r="43" spans="15:15" x14ac:dyDescent="0.25">
      <c r="O43" s="16"/>
    </row>
    <row r="44" spans="15:15" x14ac:dyDescent="0.25">
      <c r="O44" s="11"/>
    </row>
    <row r="45" spans="15:15" x14ac:dyDescent="0.25">
      <c r="O45" s="20"/>
    </row>
    <row r="46" spans="15:15" x14ac:dyDescent="0.25">
      <c r="O46" s="11"/>
    </row>
    <row r="47" spans="15:15" x14ac:dyDescent="0.25">
      <c r="O47" s="11"/>
    </row>
    <row r="48" spans="15:15" x14ac:dyDescent="0.25">
      <c r="O48" s="11"/>
    </row>
    <row r="49" spans="15:15" x14ac:dyDescent="0.25">
      <c r="O49" s="11"/>
    </row>
    <row r="50" spans="15:15" x14ac:dyDescent="0.25">
      <c r="O50" s="11"/>
    </row>
    <row r="51" spans="15:15" x14ac:dyDescent="0.25">
      <c r="O51" s="16"/>
    </row>
    <row r="52" spans="15:15" x14ac:dyDescent="0.25">
      <c r="O52" s="16"/>
    </row>
    <row r="53" spans="15:15" x14ac:dyDescent="0.25">
      <c r="O53" s="11"/>
    </row>
    <row r="54" spans="15:15" x14ac:dyDescent="0.25">
      <c r="O54" s="11"/>
    </row>
    <row r="55" spans="15:15" x14ac:dyDescent="0.25">
      <c r="O55" s="16"/>
    </row>
    <row r="56" spans="15:15" x14ac:dyDescent="0.25">
      <c r="O56" s="16"/>
    </row>
    <row r="57" spans="15:15" x14ac:dyDescent="0.25">
      <c r="O57" s="11"/>
    </row>
    <row r="58" spans="15:15" x14ac:dyDescent="0.25">
      <c r="O58" s="11"/>
    </row>
    <row r="59" spans="15:15" x14ac:dyDescent="0.25">
      <c r="O59" s="16"/>
    </row>
    <row r="60" spans="15:15" x14ac:dyDescent="0.25">
      <c r="O60" s="11"/>
    </row>
    <row r="61" spans="15:15" x14ac:dyDescent="0.25">
      <c r="O61" s="16"/>
    </row>
    <row r="62" spans="15:15" x14ac:dyDescent="0.25">
      <c r="O62" s="11"/>
    </row>
    <row r="63" spans="15:15" x14ac:dyDescent="0.25">
      <c r="O63" s="11"/>
    </row>
    <row r="64" spans="15:15" x14ac:dyDescent="0.25">
      <c r="O64" s="11"/>
    </row>
    <row r="65" spans="15:15" x14ac:dyDescent="0.25">
      <c r="O65" s="16"/>
    </row>
    <row r="66" spans="15:15" x14ac:dyDescent="0.25">
      <c r="O66" s="11"/>
    </row>
    <row r="67" spans="15:15" x14ac:dyDescent="0.25">
      <c r="O67" s="11"/>
    </row>
    <row r="68" spans="15:15" x14ac:dyDescent="0.25">
      <c r="O68" s="11"/>
    </row>
    <row r="69" spans="15:15" x14ac:dyDescent="0.25">
      <c r="O69" s="11"/>
    </row>
    <row r="70" spans="15:15" x14ac:dyDescent="0.25">
      <c r="O70" s="16"/>
    </row>
    <row r="71" spans="15:15" x14ac:dyDescent="0.25">
      <c r="O71" s="11"/>
    </row>
    <row r="72" spans="15:15" x14ac:dyDescent="0.25">
      <c r="O72" s="11"/>
    </row>
    <row r="73" spans="15:15" x14ac:dyDescent="0.25">
      <c r="O73" s="11"/>
    </row>
    <row r="74" spans="15:15" x14ac:dyDescent="0.25">
      <c r="O74" s="11"/>
    </row>
    <row r="75" spans="15:15" x14ac:dyDescent="0.25">
      <c r="O75" s="11"/>
    </row>
    <row r="76" spans="15:15" x14ac:dyDescent="0.25">
      <c r="O76" s="16"/>
    </row>
    <row r="77" spans="15:15" x14ac:dyDescent="0.25">
      <c r="O77" s="11"/>
    </row>
    <row r="78" spans="15:15" x14ac:dyDescent="0.25">
      <c r="O78" s="16"/>
    </row>
    <row r="79" spans="15:15" x14ac:dyDescent="0.25">
      <c r="O79" s="11"/>
    </row>
    <row r="80" spans="15:15" x14ac:dyDescent="0.25">
      <c r="O80" s="16"/>
    </row>
    <row r="81" spans="15:15" x14ac:dyDescent="0.25">
      <c r="O81" s="11"/>
    </row>
    <row r="82" spans="15:15" x14ac:dyDescent="0.25">
      <c r="O82" s="11"/>
    </row>
    <row r="83" spans="15:15" x14ac:dyDescent="0.25">
      <c r="O83" s="11"/>
    </row>
    <row r="84" spans="15:15" x14ac:dyDescent="0.25">
      <c r="O84" s="11"/>
    </row>
    <row r="85" spans="15:15" x14ac:dyDescent="0.25">
      <c r="O85" s="16"/>
    </row>
    <row r="86" spans="15:15" x14ac:dyDescent="0.25">
      <c r="O86" s="16"/>
    </row>
    <row r="88" spans="15:15" x14ac:dyDescent="0.25">
      <c r="O88" s="2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7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2" sqref="B2"/>
    </sheetView>
  </sheetViews>
  <sheetFormatPr defaultRowHeight="15" x14ac:dyDescent="0.25"/>
  <cols>
    <col min="1" max="1" width="40.7109375" style="6" customWidth="1"/>
    <col min="2" max="35" width="16" style="4" customWidth="1"/>
    <col min="36" max="16384" width="9.140625" style="4"/>
  </cols>
  <sheetData>
    <row r="1" spans="1:35" s="14" customFormat="1" ht="37.5" x14ac:dyDescent="0.3">
      <c r="A1" s="28" t="s">
        <v>263</v>
      </c>
    </row>
    <row r="2" spans="1:35" x14ac:dyDescent="0.25">
      <c r="A2" s="6" t="s">
        <v>43</v>
      </c>
    </row>
    <row r="3" spans="1:35" s="22" customFormat="1" x14ac:dyDescent="0.25">
      <c r="A3" s="27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19</v>
      </c>
      <c r="U3" s="26" t="s">
        <v>20</v>
      </c>
      <c r="V3" s="26" t="s">
        <v>21</v>
      </c>
      <c r="W3" s="26" t="s">
        <v>161</v>
      </c>
      <c r="X3" s="26" t="s">
        <v>162</v>
      </c>
      <c r="Y3" s="26" t="s">
        <v>22</v>
      </c>
      <c r="Z3" s="26" t="s">
        <v>23</v>
      </c>
      <c r="AA3" s="26" t="s">
        <v>24</v>
      </c>
      <c r="AB3" s="26" t="s">
        <v>25</v>
      </c>
      <c r="AC3" s="26" t="s">
        <v>26</v>
      </c>
      <c r="AD3" s="26" t="s">
        <v>27</v>
      </c>
      <c r="AE3" s="26" t="s">
        <v>28</v>
      </c>
      <c r="AF3" s="26" t="s">
        <v>29</v>
      </c>
      <c r="AG3" s="26" t="s">
        <v>30</v>
      </c>
      <c r="AH3" s="26" t="s">
        <v>31</v>
      </c>
      <c r="AI3" s="68" t="s">
        <v>304</v>
      </c>
    </row>
    <row r="4" spans="1:35" x14ac:dyDescent="0.25">
      <c r="A4" s="25" t="s">
        <v>125</v>
      </c>
      <c r="B4" s="21">
        <v>198</v>
      </c>
      <c r="C4" s="21">
        <v>1033</v>
      </c>
      <c r="D4" s="21">
        <v>64</v>
      </c>
      <c r="E4" s="21">
        <v>15153</v>
      </c>
      <c r="F4" s="21">
        <v>350382</v>
      </c>
      <c r="G4" s="21">
        <v>55068</v>
      </c>
      <c r="H4" s="21">
        <v>73762</v>
      </c>
      <c r="I4" s="21">
        <v>11463</v>
      </c>
      <c r="J4" s="21">
        <v>6161</v>
      </c>
      <c r="K4" s="21">
        <v>1090</v>
      </c>
      <c r="L4" s="21">
        <v>752.15</v>
      </c>
      <c r="M4" s="21">
        <v>84041</v>
      </c>
      <c r="N4" s="21">
        <v>120705</v>
      </c>
      <c r="O4" s="21">
        <v>577208</v>
      </c>
      <c r="P4" s="21">
        <v>339777</v>
      </c>
      <c r="Q4" s="21">
        <v>18523</v>
      </c>
      <c r="R4" s="21">
        <v>3256</v>
      </c>
      <c r="S4" s="21">
        <v>74641</v>
      </c>
      <c r="T4" s="21">
        <v>13558</v>
      </c>
      <c r="U4" s="21">
        <v>14579</v>
      </c>
      <c r="V4" s="39">
        <v>137727</v>
      </c>
      <c r="W4" s="21">
        <v>17843</v>
      </c>
      <c r="X4" s="21">
        <v>39844</v>
      </c>
      <c r="Y4" s="21">
        <v>31</v>
      </c>
      <c r="Z4" s="21">
        <v>32782</v>
      </c>
      <c r="AA4" s="21">
        <v>30347</v>
      </c>
      <c r="AB4" s="21">
        <v>633</v>
      </c>
      <c r="AC4" s="21">
        <v>8884</v>
      </c>
      <c r="AD4" s="21">
        <v>41934</v>
      </c>
      <c r="AE4" s="21">
        <v>32315</v>
      </c>
      <c r="AF4" s="21">
        <v>213148</v>
      </c>
      <c r="AG4" s="21">
        <v>307618</v>
      </c>
      <c r="AH4" s="21">
        <v>7310</v>
      </c>
      <c r="AI4" s="21">
        <f>SUM(B4:AH4)</f>
        <v>2631830.15</v>
      </c>
    </row>
    <row r="5" spans="1:35" x14ac:dyDescent="0.25">
      <c r="A5" s="25" t="s">
        <v>126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>
        <f t="shared" ref="AI5:AI16" si="0">SUM(B5:AH5)</f>
        <v>0</v>
      </c>
    </row>
    <row r="6" spans="1:35" x14ac:dyDescent="0.25">
      <c r="A6" s="25" t="s">
        <v>127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>
        <f t="shared" si="0"/>
        <v>0</v>
      </c>
    </row>
    <row r="7" spans="1:35" ht="15" customHeight="1" x14ac:dyDescent="0.25">
      <c r="A7" s="25" t="s">
        <v>128</v>
      </c>
      <c r="B7" s="21"/>
      <c r="C7" s="21">
        <v>569</v>
      </c>
      <c r="D7" s="21">
        <v>38559961</v>
      </c>
      <c r="E7" s="21">
        <v>1036696</v>
      </c>
      <c r="F7" s="21">
        <v>425224</v>
      </c>
      <c r="G7" s="21">
        <v>110340</v>
      </c>
      <c r="H7" s="21"/>
      <c r="I7" s="21">
        <v>21000</v>
      </c>
      <c r="J7" s="21">
        <v>519</v>
      </c>
      <c r="K7" s="21"/>
      <c r="L7" s="21">
        <v>3570000</v>
      </c>
      <c r="M7" s="21"/>
      <c r="N7" s="21"/>
      <c r="O7" s="21">
        <v>398900</v>
      </c>
      <c r="P7" s="21">
        <v>542859</v>
      </c>
      <c r="Q7" s="21"/>
      <c r="R7" s="21"/>
      <c r="S7" s="21">
        <v>99400</v>
      </c>
      <c r="T7" s="21"/>
      <c r="U7" s="21">
        <v>20500</v>
      </c>
      <c r="V7" s="39">
        <v>1431410</v>
      </c>
      <c r="W7" s="21">
        <v>15087759</v>
      </c>
      <c r="X7" s="21">
        <v>11885007</v>
      </c>
      <c r="Y7" s="21"/>
      <c r="Z7" s="21">
        <v>10647</v>
      </c>
      <c r="AA7" s="21">
        <v>11344</v>
      </c>
      <c r="AB7" s="21"/>
      <c r="AC7" s="21"/>
      <c r="AD7" s="21"/>
      <c r="AE7" s="21">
        <v>318700</v>
      </c>
      <c r="AF7" s="21"/>
      <c r="AG7" s="21">
        <v>3022703</v>
      </c>
      <c r="AH7" s="21"/>
      <c r="AI7" s="21">
        <f t="shared" si="0"/>
        <v>76553538</v>
      </c>
    </row>
    <row r="8" spans="1:35" x14ac:dyDescent="0.25">
      <c r="A8" s="25" t="s">
        <v>129</v>
      </c>
      <c r="B8" s="21"/>
      <c r="C8" s="21">
        <v>3200</v>
      </c>
      <c r="D8" s="21"/>
      <c r="E8" s="21">
        <v>402400</v>
      </c>
      <c r="F8" s="21"/>
      <c r="G8" s="21"/>
      <c r="H8" s="21"/>
      <c r="I8" s="21">
        <v>2500</v>
      </c>
      <c r="J8" s="21"/>
      <c r="K8" s="21"/>
      <c r="L8" s="21">
        <v>2780000</v>
      </c>
      <c r="M8" s="21">
        <v>1885</v>
      </c>
      <c r="N8" s="21"/>
      <c r="O8" s="21">
        <v>400</v>
      </c>
      <c r="P8" s="21"/>
      <c r="Q8" s="21"/>
      <c r="R8" s="21"/>
      <c r="S8" s="21"/>
      <c r="T8" s="21"/>
      <c r="U8" s="21"/>
      <c r="V8" s="21"/>
      <c r="W8" s="21">
        <v>48984163</v>
      </c>
      <c r="X8" s="21"/>
      <c r="Y8" s="21"/>
      <c r="Z8" s="21"/>
      <c r="AA8" s="21">
        <v>2500</v>
      </c>
      <c r="AB8" s="21"/>
      <c r="AC8" s="21"/>
      <c r="AD8" s="21"/>
      <c r="AE8" s="21"/>
      <c r="AF8" s="21"/>
      <c r="AG8" s="21"/>
      <c r="AH8" s="21"/>
      <c r="AI8" s="21">
        <f t="shared" si="0"/>
        <v>52177048</v>
      </c>
    </row>
    <row r="9" spans="1:35" x14ac:dyDescent="0.25">
      <c r="A9" s="25" t="s">
        <v>130</v>
      </c>
      <c r="B9" s="21"/>
      <c r="C9" s="21">
        <v>44587</v>
      </c>
      <c r="D9" s="21">
        <v>2738992</v>
      </c>
      <c r="E9" s="21">
        <v>488576</v>
      </c>
      <c r="F9" s="21">
        <v>2535773</v>
      </c>
      <c r="G9" s="21">
        <v>351776</v>
      </c>
      <c r="H9" s="21">
        <v>349466</v>
      </c>
      <c r="I9" s="21">
        <v>62488</v>
      </c>
      <c r="J9" s="21">
        <v>12381</v>
      </c>
      <c r="K9" s="21">
        <v>18935</v>
      </c>
      <c r="L9" s="21">
        <v>95004.21</v>
      </c>
      <c r="M9" s="21">
        <v>151157</v>
      </c>
      <c r="N9" s="21">
        <v>278119</v>
      </c>
      <c r="O9" s="21">
        <v>1398130</v>
      </c>
      <c r="P9" s="21">
        <v>1916915</v>
      </c>
      <c r="Q9" s="21">
        <v>1079358</v>
      </c>
      <c r="R9" s="21">
        <v>85567</v>
      </c>
      <c r="S9" s="21">
        <v>148242</v>
      </c>
      <c r="T9" s="21">
        <v>180757</v>
      </c>
      <c r="U9" s="21">
        <v>73376</v>
      </c>
      <c r="V9" s="39">
        <v>5443004</v>
      </c>
      <c r="W9" s="21">
        <v>20426800</v>
      </c>
      <c r="X9" s="21">
        <v>8609429</v>
      </c>
      <c r="Y9" s="21">
        <v>11208</v>
      </c>
      <c r="Z9" s="21">
        <v>1812157</v>
      </c>
      <c r="AA9" s="21">
        <v>287748</v>
      </c>
      <c r="AB9" s="21">
        <v>624522</v>
      </c>
      <c r="AC9" s="21">
        <v>143012</v>
      </c>
      <c r="AD9" s="21">
        <v>101612</v>
      </c>
      <c r="AE9" s="21"/>
      <c r="AF9" s="21">
        <v>714903</v>
      </c>
      <c r="AG9" s="21">
        <v>4158687</v>
      </c>
      <c r="AH9" s="21">
        <v>1177280</v>
      </c>
      <c r="AI9" s="21">
        <f t="shared" si="0"/>
        <v>55519961.210000001</v>
      </c>
    </row>
    <row r="10" spans="1:35" x14ac:dyDescent="0.25">
      <c r="A10" s="25" t="s">
        <v>198</v>
      </c>
      <c r="B10" s="21"/>
      <c r="C10" s="21"/>
      <c r="D10" s="21"/>
      <c r="E10" s="21"/>
      <c r="F10" s="21"/>
      <c r="G10" s="21"/>
      <c r="H10" s="21">
        <v>65777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>
        <v>46336</v>
      </c>
      <c r="U10" s="21"/>
      <c r="V10" s="21"/>
      <c r="W10" s="21"/>
      <c r="X10" s="21"/>
      <c r="Y10" s="21"/>
      <c r="Z10" s="21">
        <v>285368</v>
      </c>
      <c r="AA10" s="21"/>
      <c r="AB10" s="21"/>
      <c r="AC10" s="21"/>
      <c r="AD10" s="21">
        <v>130884</v>
      </c>
      <c r="AE10" s="21">
        <v>4842473</v>
      </c>
      <c r="AF10" s="21"/>
      <c r="AG10" s="21"/>
      <c r="AH10" s="21"/>
      <c r="AI10" s="21">
        <f t="shared" si="0"/>
        <v>5370838</v>
      </c>
    </row>
    <row r="11" spans="1:35" x14ac:dyDescent="0.25">
      <c r="A11" s="25" t="s">
        <v>199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v>100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>
        <f t="shared" si="0"/>
        <v>100</v>
      </c>
    </row>
    <row r="12" spans="1:35" x14ac:dyDescent="0.25">
      <c r="A12" s="25" t="s">
        <v>131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>
        <f t="shared" si="0"/>
        <v>0</v>
      </c>
    </row>
    <row r="13" spans="1:35" x14ac:dyDescent="0.25">
      <c r="A13" s="25" t="s">
        <v>132</v>
      </c>
      <c r="B13" s="21">
        <v>44277</v>
      </c>
      <c r="C13" s="21"/>
      <c r="D13" s="21"/>
      <c r="E13" s="21"/>
      <c r="F13" s="21"/>
      <c r="G13" s="21"/>
      <c r="H13" s="21">
        <v>6037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>
        <f t="shared" si="0"/>
        <v>50314</v>
      </c>
    </row>
    <row r="14" spans="1:35" x14ac:dyDescent="0.25">
      <c r="A14" s="25" t="s">
        <v>133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>
        <v>17948926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>
        <v>699762</v>
      </c>
      <c r="AH14" s="21"/>
      <c r="AI14" s="21">
        <f t="shared" si="0"/>
        <v>18648688</v>
      </c>
    </row>
    <row r="15" spans="1:35" x14ac:dyDescent="0.25">
      <c r="A15" s="25" t="s">
        <v>187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9">
        <v>6500</v>
      </c>
      <c r="M15" s="21"/>
      <c r="N15" s="21"/>
      <c r="O15" s="21"/>
      <c r="P15" s="21"/>
      <c r="Q15" s="21"/>
      <c r="R15" s="21"/>
      <c r="S15" s="21"/>
      <c r="T15" s="21"/>
      <c r="U15" s="21"/>
      <c r="V15" s="21">
        <v>20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>
        <f t="shared" si="0"/>
        <v>6520</v>
      </c>
    </row>
    <row r="16" spans="1:35" s="15" customFormat="1" x14ac:dyDescent="0.25">
      <c r="A16" s="23" t="s">
        <v>61</v>
      </c>
      <c r="B16" s="24">
        <v>44475</v>
      </c>
      <c r="C16" s="24">
        <v>49390</v>
      </c>
      <c r="D16" s="24">
        <v>41299017</v>
      </c>
      <c r="E16" s="24">
        <v>1942825</v>
      </c>
      <c r="F16" s="24">
        <v>3311379</v>
      </c>
      <c r="G16" s="24">
        <v>517184</v>
      </c>
      <c r="H16" s="24">
        <v>429265</v>
      </c>
      <c r="I16" s="24">
        <v>97451</v>
      </c>
      <c r="J16" s="24">
        <v>19061</v>
      </c>
      <c r="K16" s="24">
        <v>20025</v>
      </c>
      <c r="L16" s="24">
        <v>6452356.3600000003</v>
      </c>
      <c r="M16" s="24">
        <v>237083</v>
      </c>
      <c r="N16" s="24">
        <v>398824</v>
      </c>
      <c r="O16" s="24">
        <v>2374638</v>
      </c>
      <c r="P16" s="24">
        <v>2799551</v>
      </c>
      <c r="Q16" s="24">
        <v>1097881</v>
      </c>
      <c r="R16" s="24">
        <v>88823</v>
      </c>
      <c r="S16" s="24">
        <v>322284</v>
      </c>
      <c r="T16" s="24">
        <v>240651</v>
      </c>
      <c r="U16" s="24">
        <v>108455</v>
      </c>
      <c r="V16" s="24">
        <v>7012161</v>
      </c>
      <c r="W16" s="24">
        <v>102465491</v>
      </c>
      <c r="X16" s="24">
        <v>20534280</v>
      </c>
      <c r="Y16" s="24">
        <v>11239</v>
      </c>
      <c r="Z16" s="24">
        <v>2140954</v>
      </c>
      <c r="AA16" s="24">
        <v>331939</v>
      </c>
      <c r="AB16" s="24">
        <v>625155</v>
      </c>
      <c r="AC16" s="24">
        <v>151896</v>
      </c>
      <c r="AD16" s="24">
        <v>274429</v>
      </c>
      <c r="AE16" s="24">
        <v>5193488</v>
      </c>
      <c r="AF16" s="24">
        <v>928051</v>
      </c>
      <c r="AG16" s="24">
        <v>8188770</v>
      </c>
      <c r="AH16" s="24">
        <v>1184590</v>
      </c>
      <c r="AI16" s="24">
        <f t="shared" si="0"/>
        <v>210893061.36000001</v>
      </c>
    </row>
    <row r="17" spans="15:15" x14ac:dyDescent="0.25">
      <c r="O17" s="11"/>
    </row>
    <row r="18" spans="15:15" x14ac:dyDescent="0.25">
      <c r="O18" s="11"/>
    </row>
    <row r="19" spans="15:15" x14ac:dyDescent="0.25">
      <c r="O19" s="11"/>
    </row>
    <row r="20" spans="15:15" x14ac:dyDescent="0.25">
      <c r="O20" s="11"/>
    </row>
    <row r="21" spans="15:15" x14ac:dyDescent="0.25">
      <c r="O21" s="18"/>
    </row>
    <row r="22" spans="15:15" x14ac:dyDescent="0.25">
      <c r="O22" s="11"/>
    </row>
    <row r="23" spans="15:15" x14ac:dyDescent="0.25">
      <c r="O23" s="11"/>
    </row>
    <row r="24" spans="15:15" x14ac:dyDescent="0.25">
      <c r="O24" s="11"/>
    </row>
    <row r="25" spans="15:15" x14ac:dyDescent="0.25">
      <c r="O25" s="11"/>
    </row>
    <row r="26" spans="15:15" x14ac:dyDescent="0.25">
      <c r="O26" s="18"/>
    </row>
    <row r="27" spans="15:15" x14ac:dyDescent="0.25">
      <c r="O27" s="11"/>
    </row>
    <row r="28" spans="15:15" x14ac:dyDescent="0.25">
      <c r="O28" s="11"/>
    </row>
    <row r="29" spans="15:15" x14ac:dyDescent="0.25">
      <c r="O29" s="11"/>
    </row>
    <row r="30" spans="15:15" x14ac:dyDescent="0.25">
      <c r="O30" s="11"/>
    </row>
    <row r="31" spans="15:15" x14ac:dyDescent="0.25">
      <c r="O31" s="11"/>
    </row>
    <row r="32" spans="15:15" x14ac:dyDescent="0.25">
      <c r="O32" s="18"/>
    </row>
    <row r="33" spans="15:15" x14ac:dyDescent="0.25">
      <c r="O33" s="11"/>
    </row>
    <row r="34" spans="15:15" x14ac:dyDescent="0.25">
      <c r="O34" s="18"/>
    </row>
    <row r="35" spans="15:15" x14ac:dyDescent="0.25">
      <c r="O35" s="11"/>
    </row>
    <row r="36" spans="15:15" x14ac:dyDescent="0.25">
      <c r="O36" s="18"/>
    </row>
    <row r="37" spans="15:15" x14ac:dyDescent="0.25">
      <c r="O37" s="11"/>
    </row>
    <row r="38" spans="15:15" x14ac:dyDescent="0.25">
      <c r="O38" s="11"/>
    </row>
    <row r="39" spans="15:15" x14ac:dyDescent="0.25">
      <c r="O39" s="11"/>
    </row>
    <row r="40" spans="15:15" x14ac:dyDescent="0.25">
      <c r="O40" s="11"/>
    </row>
    <row r="41" spans="15:15" x14ac:dyDescent="0.25">
      <c r="O41" s="18"/>
    </row>
    <row r="42" spans="15:15" x14ac:dyDescent="0.25">
      <c r="O42" s="18"/>
    </row>
    <row r="43" spans="15:15" x14ac:dyDescent="0.25">
      <c r="O43" s="11"/>
    </row>
    <row r="44" spans="15:15" x14ac:dyDescent="0.25">
      <c r="O44" s="19"/>
    </row>
    <row r="45" spans="15:15" x14ac:dyDescent="0.25">
      <c r="O45" s="11"/>
    </row>
    <row r="46" spans="15:15" x14ac:dyDescent="0.25">
      <c r="O46" s="11"/>
    </row>
    <row r="47" spans="15:15" x14ac:dyDescent="0.25">
      <c r="O47" s="11"/>
    </row>
    <row r="48" spans="15:15" x14ac:dyDescent="0.25">
      <c r="O48" s="11"/>
    </row>
    <row r="49" spans="15:15" x14ac:dyDescent="0.25">
      <c r="O49" s="11"/>
    </row>
    <row r="50" spans="15:15" x14ac:dyDescent="0.25">
      <c r="O50" s="16">
        <v>18168181</v>
      </c>
    </row>
    <row r="51" spans="15:15" x14ac:dyDescent="0.25">
      <c r="O51" s="16">
        <v>6100204</v>
      </c>
    </row>
    <row r="52" spans="15:15" x14ac:dyDescent="0.25">
      <c r="O52" s="11"/>
    </row>
    <row r="53" spans="15:15" x14ac:dyDescent="0.25">
      <c r="O53" s="11"/>
    </row>
    <row r="54" spans="15:15" x14ac:dyDescent="0.25">
      <c r="O54" s="16">
        <v>2600514</v>
      </c>
    </row>
    <row r="55" spans="15:15" x14ac:dyDescent="0.25">
      <c r="O55" s="16">
        <v>53757</v>
      </c>
    </row>
    <row r="56" spans="15:15" x14ac:dyDescent="0.25">
      <c r="O56" s="11"/>
    </row>
    <row r="57" spans="15:15" x14ac:dyDescent="0.25">
      <c r="O57" s="11"/>
    </row>
    <row r="58" spans="15:15" x14ac:dyDescent="0.25">
      <c r="O58" s="16">
        <v>10704856</v>
      </c>
    </row>
    <row r="59" spans="15:15" x14ac:dyDescent="0.25">
      <c r="O59" s="11"/>
    </row>
    <row r="60" spans="15:15" x14ac:dyDescent="0.25">
      <c r="O60" s="16">
        <v>336110</v>
      </c>
    </row>
    <row r="61" spans="15:15" x14ac:dyDescent="0.25">
      <c r="O61" s="11"/>
    </row>
    <row r="62" spans="15:15" x14ac:dyDescent="0.25">
      <c r="O62" s="11"/>
    </row>
    <row r="63" spans="15:15" x14ac:dyDescent="0.25">
      <c r="O63" s="11"/>
    </row>
    <row r="64" spans="15:15" x14ac:dyDescent="0.25">
      <c r="O64" s="16">
        <v>17948264</v>
      </c>
    </row>
    <row r="65" spans="15:15" x14ac:dyDescent="0.25">
      <c r="O65" s="11">
        <v>973343</v>
      </c>
    </row>
    <row r="66" spans="15:15" x14ac:dyDescent="0.25">
      <c r="O66" s="11"/>
    </row>
    <row r="67" spans="15:15" x14ac:dyDescent="0.25">
      <c r="O67" s="11"/>
    </row>
    <row r="68" spans="15:15" x14ac:dyDescent="0.25">
      <c r="O68" s="11"/>
    </row>
    <row r="69" spans="15:15" x14ac:dyDescent="0.25">
      <c r="O69" s="16">
        <v>1375959</v>
      </c>
    </row>
    <row r="70" spans="15:15" x14ac:dyDescent="0.25">
      <c r="O70" s="11"/>
    </row>
    <row r="71" spans="15:15" x14ac:dyDescent="0.25">
      <c r="O71" s="11"/>
    </row>
    <row r="72" spans="15:15" x14ac:dyDescent="0.25">
      <c r="O72" s="11"/>
    </row>
    <row r="73" spans="15:15" x14ac:dyDescent="0.25">
      <c r="O73" s="11"/>
    </row>
    <row r="74" spans="15:15" x14ac:dyDescent="0.25">
      <c r="O74" s="11"/>
    </row>
    <row r="75" spans="15:15" x14ac:dyDescent="0.25">
      <c r="O75" s="16">
        <v>2335077</v>
      </c>
    </row>
    <row r="76" spans="15:15" x14ac:dyDescent="0.25">
      <c r="O76" s="11"/>
    </row>
    <row r="77" spans="15:15" x14ac:dyDescent="0.25">
      <c r="O77" s="16">
        <v>1487508</v>
      </c>
    </row>
    <row r="78" spans="15:15" x14ac:dyDescent="0.25">
      <c r="O78" s="11"/>
    </row>
    <row r="79" spans="15:15" x14ac:dyDescent="0.25">
      <c r="O79" s="16">
        <v>1413880</v>
      </c>
    </row>
    <row r="80" spans="15:15" x14ac:dyDescent="0.25">
      <c r="O80" s="11"/>
    </row>
    <row r="81" spans="15:15" x14ac:dyDescent="0.25">
      <c r="O81" s="11"/>
    </row>
    <row r="82" spans="15:15" x14ac:dyDescent="0.25">
      <c r="O82" s="11"/>
    </row>
    <row r="83" spans="15:15" x14ac:dyDescent="0.25">
      <c r="O83" s="11"/>
    </row>
    <row r="84" spans="15:15" x14ac:dyDescent="0.25">
      <c r="O84" s="16">
        <v>4376443</v>
      </c>
    </row>
    <row r="85" spans="15:15" x14ac:dyDescent="0.25">
      <c r="O85" s="16">
        <v>418995</v>
      </c>
    </row>
    <row r="87" spans="15:15" x14ac:dyDescent="0.25">
      <c r="O87" s="20">
        <v>68293089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9.85546875" style="6" customWidth="1"/>
    <col min="2" max="35" width="16" style="4" customWidth="1"/>
    <col min="36" max="16384" width="9.140625" style="4"/>
  </cols>
  <sheetData>
    <row r="1" spans="1:35" ht="37.5" x14ac:dyDescent="0.3">
      <c r="A1" s="28" t="s">
        <v>200</v>
      </c>
    </row>
    <row r="2" spans="1:35" x14ac:dyDescent="0.25">
      <c r="A2" s="6" t="s">
        <v>43</v>
      </c>
    </row>
    <row r="3" spans="1:35" s="22" customFormat="1" x14ac:dyDescent="0.25">
      <c r="A3" s="27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69" t="s">
        <v>10</v>
      </c>
      <c r="L3" s="69" t="s">
        <v>11</v>
      </c>
      <c r="M3" s="69" t="s">
        <v>12</v>
      </c>
      <c r="N3" s="69" t="s">
        <v>13</v>
      </c>
      <c r="O3" s="69" t="s">
        <v>14</v>
      </c>
      <c r="P3" s="69" t="s">
        <v>15</v>
      </c>
      <c r="Q3" s="69" t="s">
        <v>16</v>
      </c>
      <c r="R3" s="69" t="s">
        <v>17</v>
      </c>
      <c r="S3" s="69" t="s">
        <v>18</v>
      </c>
      <c r="T3" s="69" t="s">
        <v>19</v>
      </c>
      <c r="U3" s="69" t="s">
        <v>20</v>
      </c>
      <c r="V3" s="69" t="s">
        <v>21</v>
      </c>
      <c r="W3" s="69" t="s">
        <v>161</v>
      </c>
      <c r="X3" s="69" t="s">
        <v>162</v>
      </c>
      <c r="Y3" s="69" t="s">
        <v>22</v>
      </c>
      <c r="Z3" s="69" t="s">
        <v>23</v>
      </c>
      <c r="AA3" s="69" t="s">
        <v>24</v>
      </c>
      <c r="AB3" s="69" t="s">
        <v>25</v>
      </c>
      <c r="AC3" s="69" t="s">
        <v>26</v>
      </c>
      <c r="AD3" s="69" t="s">
        <v>27</v>
      </c>
      <c r="AE3" s="69" t="s">
        <v>28</v>
      </c>
      <c r="AF3" s="69" t="s">
        <v>29</v>
      </c>
      <c r="AG3" s="69" t="s">
        <v>30</v>
      </c>
      <c r="AH3" s="69" t="s">
        <v>31</v>
      </c>
      <c r="AI3" s="69" t="s">
        <v>304</v>
      </c>
    </row>
    <row r="4" spans="1:35" s="15" customFormat="1" x14ac:dyDescent="0.25">
      <c r="A4" s="23" t="s">
        <v>134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x14ac:dyDescent="0.25">
      <c r="A5" s="25" t="s">
        <v>135</v>
      </c>
      <c r="B5" s="21"/>
      <c r="C5" s="21"/>
      <c r="D5" s="21"/>
      <c r="E5" s="21"/>
      <c r="F5" s="21"/>
      <c r="G5" s="21">
        <v>408514</v>
      </c>
      <c r="H5" s="21"/>
      <c r="I5" s="21"/>
      <c r="J5" s="21"/>
      <c r="K5" s="21">
        <v>18844</v>
      </c>
      <c r="L5" s="21"/>
      <c r="M5" s="21"/>
      <c r="N5" s="21"/>
      <c r="O5" s="21"/>
      <c r="P5" s="21">
        <v>1953469</v>
      </c>
      <c r="Q5" s="21"/>
      <c r="R5" s="21"/>
      <c r="S5" s="21"/>
      <c r="T5" s="21"/>
      <c r="U5" s="21"/>
      <c r="V5" s="39">
        <v>-105019</v>
      </c>
      <c r="W5" s="21">
        <v>362576</v>
      </c>
      <c r="X5" s="21">
        <v>180170</v>
      </c>
      <c r="Y5" s="21"/>
      <c r="Z5" s="21"/>
      <c r="AA5" s="21"/>
      <c r="AB5" s="21"/>
      <c r="AC5" s="21"/>
      <c r="AD5" s="21"/>
      <c r="AE5" s="21"/>
      <c r="AF5" s="21"/>
      <c r="AG5" s="21">
        <v>10620430</v>
      </c>
      <c r="AH5" s="21"/>
      <c r="AI5" s="46">
        <f>SUM(B5:AH5)</f>
        <v>13438984</v>
      </c>
    </row>
    <row r="6" spans="1:35" x14ac:dyDescent="0.25">
      <c r="A6" s="25" t="s">
        <v>136</v>
      </c>
      <c r="B6" s="21">
        <v>1188</v>
      </c>
      <c r="C6" s="21">
        <v>21756</v>
      </c>
      <c r="D6" s="21">
        <v>33857</v>
      </c>
      <c r="E6" s="21">
        <v>340137</v>
      </c>
      <c r="F6" s="21">
        <v>164752</v>
      </c>
      <c r="G6" s="21">
        <v>49549</v>
      </c>
      <c r="H6" s="21">
        <v>2087372</v>
      </c>
      <c r="I6" s="21">
        <v>19266</v>
      </c>
      <c r="J6" s="21">
        <v>42309</v>
      </c>
      <c r="K6" s="21">
        <v>7167</v>
      </c>
      <c r="L6" s="21">
        <v>81761</v>
      </c>
      <c r="M6" s="21">
        <v>44604</v>
      </c>
      <c r="N6" s="21">
        <v>7082</v>
      </c>
      <c r="O6" s="21">
        <v>171444</v>
      </c>
      <c r="P6" s="21">
        <v>147356</v>
      </c>
      <c r="Q6" s="21">
        <v>22088</v>
      </c>
      <c r="R6" s="21">
        <v>24326</v>
      </c>
      <c r="S6" s="21">
        <v>15267</v>
      </c>
      <c r="T6" s="21">
        <v>12063</v>
      </c>
      <c r="U6" s="21">
        <v>29387</v>
      </c>
      <c r="V6" s="21"/>
      <c r="W6" s="21">
        <v>468536</v>
      </c>
      <c r="X6" s="21">
        <v>62749</v>
      </c>
      <c r="Y6" s="21">
        <v>3652</v>
      </c>
      <c r="Z6" s="21">
        <v>377701</v>
      </c>
      <c r="AA6" s="21">
        <v>45492</v>
      </c>
      <c r="AB6" s="21">
        <v>59143</v>
      </c>
      <c r="AC6" s="21">
        <v>96345</v>
      </c>
      <c r="AD6" s="21"/>
      <c r="AE6" s="21">
        <v>77837</v>
      </c>
      <c r="AF6" s="21">
        <v>104213</v>
      </c>
      <c r="AG6" s="21">
        <v>122866</v>
      </c>
      <c r="AH6" s="21">
        <v>13800</v>
      </c>
      <c r="AI6" s="46">
        <f t="shared" ref="AI6:AI50" si="0">SUM(B6:AH6)</f>
        <v>4755065</v>
      </c>
    </row>
    <row r="7" spans="1:35" x14ac:dyDescent="0.25">
      <c r="A7" s="25" t="s">
        <v>137</v>
      </c>
      <c r="B7" s="21"/>
      <c r="C7" s="21"/>
      <c r="D7" s="21">
        <v>4369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>
        <v>384479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46">
        <f t="shared" si="0"/>
        <v>388848</v>
      </c>
    </row>
    <row r="8" spans="1:35" ht="30" x14ac:dyDescent="0.25">
      <c r="A8" s="25" t="s">
        <v>138</v>
      </c>
      <c r="B8" s="21">
        <v>148</v>
      </c>
      <c r="C8" s="21"/>
      <c r="D8" s="21">
        <v>1072910</v>
      </c>
      <c r="E8" s="21">
        <v>322977</v>
      </c>
      <c r="F8" s="21">
        <v>1211442</v>
      </c>
      <c r="G8" s="21"/>
      <c r="H8" s="21">
        <v>945550</v>
      </c>
      <c r="I8" s="21">
        <v>1231</v>
      </c>
      <c r="J8" s="21"/>
      <c r="K8" s="21">
        <v>432</v>
      </c>
      <c r="L8" s="21">
        <v>1251659</v>
      </c>
      <c r="M8" s="21">
        <v>-4022</v>
      </c>
      <c r="N8" s="21">
        <v>270</v>
      </c>
      <c r="O8" s="21">
        <v>153940</v>
      </c>
      <c r="P8" s="21">
        <v>1160902</v>
      </c>
      <c r="Q8" s="21">
        <v>327102</v>
      </c>
      <c r="R8" s="21">
        <v>209</v>
      </c>
      <c r="S8" s="21">
        <v>40</v>
      </c>
      <c r="T8" s="21">
        <v>15933</v>
      </c>
      <c r="U8" s="21"/>
      <c r="V8" s="21">
        <v>5475985</v>
      </c>
      <c r="W8" s="21">
        <v>4705434</v>
      </c>
      <c r="X8" s="21">
        <v>11014718</v>
      </c>
      <c r="Y8" s="21">
        <v>8990</v>
      </c>
      <c r="Z8" s="21">
        <v>8622</v>
      </c>
      <c r="AA8" s="21">
        <v>7209</v>
      </c>
      <c r="AB8" s="21">
        <v>1422083</v>
      </c>
      <c r="AC8" s="21">
        <v>285682</v>
      </c>
      <c r="AD8" s="21"/>
      <c r="AE8" s="21">
        <v>543681</v>
      </c>
      <c r="AF8" s="21">
        <v>841350</v>
      </c>
      <c r="AG8" s="21">
        <v>3131907</v>
      </c>
      <c r="AH8" s="21">
        <v>259168</v>
      </c>
      <c r="AI8" s="46">
        <f t="shared" si="0"/>
        <v>34165552</v>
      </c>
    </row>
    <row r="9" spans="1:35" x14ac:dyDescent="0.25">
      <c r="A9" s="25" t="s">
        <v>187</v>
      </c>
      <c r="B9" s="21"/>
      <c r="C9" s="21">
        <v>60887</v>
      </c>
      <c r="D9" s="21"/>
      <c r="E9" s="21">
        <v>40451</v>
      </c>
      <c r="F9" s="21">
        <v>1520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67073</v>
      </c>
      <c r="U9" s="21"/>
      <c r="V9" s="21">
        <v>1522083</v>
      </c>
      <c r="W9" s="21">
        <v>416612</v>
      </c>
      <c r="X9" s="21">
        <v>447529</v>
      </c>
      <c r="Y9" s="21"/>
      <c r="Z9" s="21">
        <f>612345-85675+1368380</f>
        <v>1895050</v>
      </c>
      <c r="AA9" s="21"/>
      <c r="AB9" s="21">
        <v>543968</v>
      </c>
      <c r="AC9" s="21">
        <f>AC20-AC15-AC11-AC8-AC6</f>
        <v>67397</v>
      </c>
      <c r="AD9" s="21">
        <f>AD20-AD10-AD11</f>
        <v>41880</v>
      </c>
      <c r="AE9" s="21">
        <f>AE20-AE8-AE6</f>
        <v>578239</v>
      </c>
      <c r="AF9" s="21">
        <v>187597</v>
      </c>
      <c r="AG9" s="21"/>
      <c r="AH9" s="21">
        <v>96124</v>
      </c>
      <c r="AI9" s="46">
        <f t="shared" si="0"/>
        <v>5966410</v>
      </c>
    </row>
    <row r="10" spans="1:35" x14ac:dyDescent="0.25">
      <c r="A10" s="25" t="s">
        <v>302</v>
      </c>
      <c r="B10" s="21"/>
      <c r="C10" s="21"/>
      <c r="D10" s="21"/>
      <c r="E10" s="21"/>
      <c r="F10" s="21">
        <v>1054385</v>
      </c>
      <c r="G10" s="21">
        <v>6179</v>
      </c>
      <c r="H10" s="21"/>
      <c r="I10" s="21"/>
      <c r="J10" s="21"/>
      <c r="K10" s="21"/>
      <c r="L10" s="21"/>
      <c r="M10" s="21">
        <v>171293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2463</v>
      </c>
      <c r="AE10" s="21"/>
      <c r="AF10" s="21"/>
      <c r="AG10" s="21"/>
      <c r="AH10" s="21"/>
      <c r="AI10" s="46">
        <f t="shared" si="0"/>
        <v>1234320</v>
      </c>
    </row>
    <row r="11" spans="1:35" x14ac:dyDescent="0.25">
      <c r="A11" s="25" t="s">
        <v>303</v>
      </c>
      <c r="B11" s="21"/>
      <c r="C11" s="21"/>
      <c r="D11" s="21"/>
      <c r="E11" s="21"/>
      <c r="F11" s="21"/>
      <c r="G11" s="21">
        <v>879</v>
      </c>
      <c r="H11" s="21">
        <v>997</v>
      </c>
      <c r="I11" s="21">
        <v>2395</v>
      </c>
      <c r="J11" s="21">
        <v>160</v>
      </c>
      <c r="K11" s="21">
        <v>4</v>
      </c>
      <c r="L11" s="21">
        <v>268907</v>
      </c>
      <c r="M11" s="21">
        <v>4813</v>
      </c>
      <c r="N11" s="21"/>
      <c r="O11" s="21">
        <v>8741</v>
      </c>
      <c r="P11" s="21">
        <v>717</v>
      </c>
      <c r="Q11" s="21"/>
      <c r="R11" s="21">
        <v>2870</v>
      </c>
      <c r="S11" s="21"/>
      <c r="T11" s="21"/>
      <c r="U11" s="21"/>
      <c r="V11" s="21"/>
      <c r="W11" s="21"/>
      <c r="X11" s="21"/>
      <c r="Y11" s="21">
        <v>250</v>
      </c>
      <c r="Z11" s="21">
        <v>8108</v>
      </c>
      <c r="AA11" s="21"/>
      <c r="AB11" s="21"/>
      <c r="AC11" s="21">
        <v>3849</v>
      </c>
      <c r="AD11" s="21">
        <v>832</v>
      </c>
      <c r="AE11" s="21"/>
      <c r="AF11" s="21"/>
      <c r="AG11" s="21"/>
      <c r="AH11" s="21"/>
      <c r="AI11" s="46">
        <f t="shared" si="0"/>
        <v>303522</v>
      </c>
    </row>
    <row r="12" spans="1:35" x14ac:dyDescent="0.25">
      <c r="A12" s="25" t="s">
        <v>239</v>
      </c>
      <c r="B12" s="21"/>
      <c r="C12" s="21"/>
      <c r="D12" s="21"/>
      <c r="E12" s="21"/>
      <c r="F12" s="21">
        <v>1000995</v>
      </c>
      <c r="G12" s="21"/>
      <c r="H12" s="21">
        <v>2320344</v>
      </c>
      <c r="I12" s="21">
        <v>112270</v>
      </c>
      <c r="J12" s="21">
        <v>33470</v>
      </c>
      <c r="K12" s="21">
        <v>5438</v>
      </c>
      <c r="L12" s="21">
        <v>16501</v>
      </c>
      <c r="M12" s="21"/>
      <c r="N12" s="21">
        <v>32209</v>
      </c>
      <c r="O12" s="21">
        <v>373062</v>
      </c>
      <c r="P12" s="21"/>
      <c r="Q12" s="21">
        <v>21217</v>
      </c>
      <c r="R12" s="21"/>
      <c r="S12" s="21">
        <f>S20-S8-S6</f>
        <v>414399</v>
      </c>
      <c r="T12" s="21"/>
      <c r="U12" s="21">
        <v>38970</v>
      </c>
      <c r="V12" s="21"/>
      <c r="W12" s="21"/>
      <c r="X12" s="21"/>
      <c r="Y12" s="21">
        <v>50971</v>
      </c>
      <c r="Z12" s="21">
        <v>795141</v>
      </c>
      <c r="AA12" s="21">
        <v>21109</v>
      </c>
      <c r="AB12" s="21">
        <v>23868</v>
      </c>
      <c r="AC12" s="21"/>
      <c r="AD12" s="21"/>
      <c r="AE12" s="21"/>
      <c r="AF12" s="21"/>
      <c r="AG12" s="21">
        <v>241608</v>
      </c>
      <c r="AH12" s="21"/>
      <c r="AI12" s="46">
        <f t="shared" si="0"/>
        <v>5501572</v>
      </c>
    </row>
    <row r="13" spans="1:35" x14ac:dyDescent="0.25">
      <c r="A13" s="25" t="s">
        <v>232</v>
      </c>
      <c r="B13" s="21">
        <v>9174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>
        <v>87729</v>
      </c>
      <c r="R13" s="21"/>
      <c r="S13" s="21"/>
      <c r="T13" s="21"/>
      <c r="U13" s="21"/>
      <c r="V13" s="21"/>
      <c r="W13" s="21"/>
      <c r="X13" s="21"/>
      <c r="Y13" s="21"/>
      <c r="Z13" s="21">
        <v>337915</v>
      </c>
      <c r="AA13" s="21"/>
      <c r="AB13" s="21">
        <v>84140</v>
      </c>
      <c r="AC13" s="21"/>
      <c r="AD13" s="21"/>
      <c r="AE13" s="21"/>
      <c r="AF13" s="21"/>
      <c r="AG13" s="21"/>
      <c r="AH13" s="21"/>
      <c r="AI13" s="46">
        <f t="shared" si="0"/>
        <v>518958</v>
      </c>
    </row>
    <row r="14" spans="1:35" x14ac:dyDescent="0.25">
      <c r="A14" s="25" t="s">
        <v>233</v>
      </c>
      <c r="B14" s="21">
        <v>15217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46">
        <f t="shared" si="0"/>
        <v>15217</v>
      </c>
    </row>
    <row r="15" spans="1:35" x14ac:dyDescent="0.25">
      <c r="A15" s="25" t="s">
        <v>234</v>
      </c>
      <c r="B15" s="21">
        <v>101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>
        <v>126282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>
        <v>96644</v>
      </c>
      <c r="AD15" s="21"/>
      <c r="AE15" s="21"/>
      <c r="AF15" s="21"/>
      <c r="AG15" s="21"/>
      <c r="AH15" s="21"/>
      <c r="AI15" s="46">
        <f t="shared" si="0"/>
        <v>223027</v>
      </c>
    </row>
    <row r="16" spans="1:35" x14ac:dyDescent="0.25">
      <c r="A16" s="25" t="s">
        <v>235</v>
      </c>
      <c r="B16" s="21">
        <v>206990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>
        <v>4020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46">
        <f t="shared" si="0"/>
        <v>211010</v>
      </c>
    </row>
    <row r="17" spans="1:35" x14ac:dyDescent="0.25">
      <c r="A17" s="25" t="s">
        <v>376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>
        <v>232254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46">
        <f t="shared" si="0"/>
        <v>232254</v>
      </c>
    </row>
    <row r="18" spans="1:35" x14ac:dyDescent="0.25">
      <c r="A18" s="25" t="s">
        <v>377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358180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46">
        <f t="shared" si="0"/>
        <v>358180</v>
      </c>
    </row>
    <row r="19" spans="1:35" x14ac:dyDescent="0.25">
      <c r="A19" s="25" t="s">
        <v>258</v>
      </c>
      <c r="B19" s="21"/>
      <c r="C19" s="21"/>
      <c r="D19" s="21">
        <v>28532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f>-6166+1133293</f>
        <v>1127127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46">
        <f t="shared" si="0"/>
        <v>1155659</v>
      </c>
    </row>
    <row r="20" spans="1:35" s="15" customFormat="1" x14ac:dyDescent="0.25">
      <c r="A20" s="23" t="s">
        <v>35</v>
      </c>
      <c r="B20" s="24">
        <v>232818</v>
      </c>
      <c r="C20" s="24">
        <v>82643</v>
      </c>
      <c r="D20" s="24">
        <v>1139669</v>
      </c>
      <c r="E20" s="51">
        <v>703565</v>
      </c>
      <c r="F20" s="51">
        <v>3433094</v>
      </c>
      <c r="G20" s="51">
        <v>465121</v>
      </c>
      <c r="H20" s="24">
        <v>5354263</v>
      </c>
      <c r="I20" s="24">
        <v>135162</v>
      </c>
      <c r="J20" s="24">
        <v>75939</v>
      </c>
      <c r="K20" s="24">
        <v>31885</v>
      </c>
      <c r="L20" s="24">
        <v>1618828</v>
      </c>
      <c r="M20" s="24">
        <v>933403</v>
      </c>
      <c r="N20" s="24">
        <v>39561</v>
      </c>
      <c r="O20" s="24">
        <v>707187</v>
      </c>
      <c r="P20" s="24">
        <v>4389571</v>
      </c>
      <c r="Q20" s="24">
        <v>458136</v>
      </c>
      <c r="R20" s="24">
        <v>31425</v>
      </c>
      <c r="S20" s="24">
        <v>429706</v>
      </c>
      <c r="T20" s="24">
        <v>95069</v>
      </c>
      <c r="U20" s="24">
        <v>68357</v>
      </c>
      <c r="V20" s="24">
        <v>6893049</v>
      </c>
      <c r="W20" s="24">
        <v>5953158</v>
      </c>
      <c r="X20" s="24">
        <v>12089645</v>
      </c>
      <c r="Y20" s="24">
        <v>63863</v>
      </c>
      <c r="Z20" s="24">
        <v>3422537</v>
      </c>
      <c r="AA20" s="24">
        <v>73810</v>
      </c>
      <c r="AB20" s="24">
        <v>2133202</v>
      </c>
      <c r="AC20" s="24">
        <v>549917</v>
      </c>
      <c r="AD20" s="24">
        <v>45175</v>
      </c>
      <c r="AE20" s="24">
        <v>1199757</v>
      </c>
      <c r="AF20" s="24">
        <v>1133160</v>
      </c>
      <c r="AG20" s="24">
        <v>14116811</v>
      </c>
      <c r="AH20" s="24">
        <v>369092</v>
      </c>
      <c r="AI20" s="24">
        <f t="shared" si="0"/>
        <v>68468578</v>
      </c>
    </row>
    <row r="21" spans="1:35" s="15" customFormat="1" x14ac:dyDescent="0.25">
      <c r="A21" s="23" t="s">
        <v>139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46">
        <f t="shared" si="0"/>
        <v>0</v>
      </c>
    </row>
    <row r="22" spans="1:35" x14ac:dyDescent="0.25">
      <c r="A22" s="25" t="s">
        <v>140</v>
      </c>
      <c r="B22" s="53">
        <v>49503</v>
      </c>
      <c r="C22" s="21">
        <v>102046</v>
      </c>
      <c r="D22" s="21">
        <v>2067990</v>
      </c>
      <c r="E22" s="21">
        <v>453950</v>
      </c>
      <c r="F22" s="21">
        <v>3807968</v>
      </c>
      <c r="G22" s="21">
        <v>1039833</v>
      </c>
      <c r="H22" s="21">
        <v>2104429</v>
      </c>
      <c r="I22" s="21">
        <v>143562</v>
      </c>
      <c r="J22" s="21">
        <v>61662</v>
      </c>
      <c r="K22" s="21">
        <v>99141</v>
      </c>
      <c r="L22" s="21">
        <v>2840649</v>
      </c>
      <c r="M22" s="21">
        <v>1048053</v>
      </c>
      <c r="N22" s="21">
        <v>268277</v>
      </c>
      <c r="O22" s="21">
        <v>2553373</v>
      </c>
      <c r="P22" s="21">
        <v>5100850</v>
      </c>
      <c r="Q22" s="21">
        <v>2180570</v>
      </c>
      <c r="R22" s="21">
        <v>110964</v>
      </c>
      <c r="S22" s="21">
        <v>540065</v>
      </c>
      <c r="T22" s="21">
        <v>513126</v>
      </c>
      <c r="U22" s="21">
        <v>137961</v>
      </c>
      <c r="V22" s="39">
        <v>3462935</v>
      </c>
      <c r="W22" s="21">
        <v>8050533</v>
      </c>
      <c r="X22" s="21">
        <v>3943142</v>
      </c>
      <c r="Y22" s="21">
        <v>118525</v>
      </c>
      <c r="Z22" s="21">
        <v>2952268</v>
      </c>
      <c r="AA22" s="21">
        <v>469662</v>
      </c>
      <c r="AB22" s="21">
        <v>1438038</v>
      </c>
      <c r="AC22" s="21">
        <v>1373614</v>
      </c>
      <c r="AD22" s="21">
        <v>3059615</v>
      </c>
      <c r="AE22" s="21">
        <v>755997</v>
      </c>
      <c r="AF22" s="21">
        <v>2107804</v>
      </c>
      <c r="AG22" s="21">
        <v>6172161</v>
      </c>
      <c r="AH22" s="21">
        <v>771081</v>
      </c>
      <c r="AI22" s="46">
        <f t="shared" si="0"/>
        <v>59899347</v>
      </c>
    </row>
    <row r="23" spans="1:35" x14ac:dyDescent="0.25">
      <c r="A23" s="25" t="s">
        <v>141</v>
      </c>
      <c r="B23" s="54"/>
      <c r="C23" s="21"/>
      <c r="D23" s="21"/>
      <c r="E23" s="21">
        <v>69758</v>
      </c>
      <c r="F23" s="21">
        <v>8935137</v>
      </c>
      <c r="G23" s="21">
        <v>2260495</v>
      </c>
      <c r="H23" s="21">
        <v>2761759</v>
      </c>
      <c r="I23" s="21"/>
      <c r="J23" s="21"/>
      <c r="K23" s="21"/>
      <c r="L23" s="21"/>
      <c r="M23" s="21">
        <v>1642154</v>
      </c>
      <c r="N23" s="21">
        <v>4065</v>
      </c>
      <c r="O23" s="21">
        <v>12046139</v>
      </c>
      <c r="P23" s="21">
        <f>23038796-1046263</f>
        <v>21992533</v>
      </c>
      <c r="Q23" s="21">
        <v>10003305</v>
      </c>
      <c r="R23" s="21"/>
      <c r="S23" s="21"/>
      <c r="T23" s="21"/>
      <c r="U23" s="21">
        <v>30873</v>
      </c>
      <c r="V23" s="39">
        <v>7449</v>
      </c>
      <c r="W23" s="21">
        <v>5829982</v>
      </c>
      <c r="X23" s="21">
        <v>2958338</v>
      </c>
      <c r="Y23" s="21"/>
      <c r="Z23" s="21">
        <v>879949</v>
      </c>
      <c r="AA23" s="21">
        <v>82067</v>
      </c>
      <c r="AB23" s="21">
        <v>1678779</v>
      </c>
      <c r="AC23" s="21">
        <v>-54019</v>
      </c>
      <c r="AD23" s="21">
        <v>953652</v>
      </c>
      <c r="AE23" s="21">
        <v>358438</v>
      </c>
      <c r="AF23" s="21">
        <v>6870360</v>
      </c>
      <c r="AG23" s="21">
        <v>161511</v>
      </c>
      <c r="AH23" s="21"/>
      <c r="AI23" s="46">
        <f t="shared" si="0"/>
        <v>79472724</v>
      </c>
    </row>
    <row r="24" spans="1:35" x14ac:dyDescent="0.25">
      <c r="A24" s="25" t="s">
        <v>142</v>
      </c>
      <c r="B24" s="54"/>
      <c r="C24" s="21">
        <v>2794</v>
      </c>
      <c r="D24" s="21"/>
      <c r="E24" s="21"/>
      <c r="F24" s="21">
        <v>85138</v>
      </c>
      <c r="G24" s="21">
        <f>72413-22021</f>
        <v>50392</v>
      </c>
      <c r="H24" s="21"/>
      <c r="I24" s="21"/>
      <c r="J24" s="21"/>
      <c r="K24" s="21"/>
      <c r="L24" s="21"/>
      <c r="M24" s="21">
        <v>3186</v>
      </c>
      <c r="N24" s="21">
        <v>54171</v>
      </c>
      <c r="O24" s="21">
        <v>1477</v>
      </c>
      <c r="P24" s="21"/>
      <c r="Q24" s="21"/>
      <c r="R24" s="21"/>
      <c r="S24" s="21"/>
      <c r="T24" s="21"/>
      <c r="U24" s="21"/>
      <c r="V24" s="39">
        <v>323370</v>
      </c>
      <c r="W24" s="21">
        <v>4324375</v>
      </c>
      <c r="X24" s="21"/>
      <c r="Y24" s="21"/>
      <c r="Z24" s="21">
        <v>3991</v>
      </c>
      <c r="AA24" s="21">
        <v>18806</v>
      </c>
      <c r="AB24" s="21"/>
      <c r="AC24" s="21">
        <v>5683552</v>
      </c>
      <c r="AD24" s="21"/>
      <c r="AE24" s="21"/>
      <c r="AF24" s="21">
        <v>362632</v>
      </c>
      <c r="AG24" s="21"/>
      <c r="AH24" s="21">
        <v>6665</v>
      </c>
      <c r="AI24" s="46">
        <f t="shared" si="0"/>
        <v>10920549</v>
      </c>
    </row>
    <row r="25" spans="1:35" x14ac:dyDescent="0.25">
      <c r="A25" s="25" t="s">
        <v>143</v>
      </c>
      <c r="B25" s="5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v>1305544</v>
      </c>
      <c r="X25" s="21">
        <v>498248</v>
      </c>
      <c r="Y25" s="21"/>
      <c r="Z25" s="21"/>
      <c r="AA25" s="21"/>
      <c r="AB25" s="21"/>
      <c r="AC25" s="21">
        <v>1847</v>
      </c>
      <c r="AD25" s="21"/>
      <c r="AE25" s="21"/>
      <c r="AF25" s="21"/>
      <c r="AG25" s="21"/>
      <c r="AH25" s="21"/>
      <c r="AI25" s="46">
        <f t="shared" si="0"/>
        <v>1805639</v>
      </c>
    </row>
    <row r="26" spans="1:35" ht="30" x14ac:dyDescent="0.25">
      <c r="A26" s="25" t="s">
        <v>144</v>
      </c>
      <c r="B26" s="53">
        <v>3259</v>
      </c>
      <c r="C26" s="21">
        <v>20887</v>
      </c>
      <c r="D26" s="21">
        <v>2095325</v>
      </c>
      <c r="E26" s="21">
        <v>22926</v>
      </c>
      <c r="F26" s="21">
        <v>2937572</v>
      </c>
      <c r="G26" s="21">
        <f>586003-152474</f>
        <v>433529</v>
      </c>
      <c r="H26" s="21">
        <v>104873</v>
      </c>
      <c r="I26" s="21"/>
      <c r="J26" s="21">
        <v>6738</v>
      </c>
      <c r="K26" s="21">
        <v>166492</v>
      </c>
      <c r="L26" s="21">
        <v>2477113</v>
      </c>
      <c r="M26" s="21">
        <v>2066898</v>
      </c>
      <c r="N26" s="21">
        <v>374570</v>
      </c>
      <c r="O26" s="21">
        <v>2933418</v>
      </c>
      <c r="P26" s="21">
        <f>-248172+73223929</f>
        <v>72975757</v>
      </c>
      <c r="Q26" s="21">
        <v>1687824</v>
      </c>
      <c r="R26" s="21">
        <v>3990</v>
      </c>
      <c r="S26" s="21">
        <v>417095</v>
      </c>
      <c r="T26" s="21">
        <v>367017</v>
      </c>
      <c r="U26" s="21">
        <v>420101</v>
      </c>
      <c r="V26" s="21">
        <v>44990248</v>
      </c>
      <c r="W26" s="21">
        <v>34385027</v>
      </c>
      <c r="X26" s="21">
        <v>21392552</v>
      </c>
      <c r="Y26" s="21">
        <v>85234</v>
      </c>
      <c r="Z26" s="21">
        <f>3246335-449808</f>
        <v>2796527</v>
      </c>
      <c r="AA26" s="21">
        <v>91962</v>
      </c>
      <c r="AB26" s="21">
        <v>80683</v>
      </c>
      <c r="AC26" s="21"/>
      <c r="AD26" s="21">
        <v>379055</v>
      </c>
      <c r="AE26" s="21">
        <v>2769551</v>
      </c>
      <c r="AF26" s="21">
        <v>7469418</v>
      </c>
      <c r="AG26" s="21">
        <v>8757441</v>
      </c>
      <c r="AH26" s="21">
        <v>10712036</v>
      </c>
      <c r="AI26" s="46">
        <f t="shared" si="0"/>
        <v>223425118</v>
      </c>
    </row>
    <row r="27" spans="1:35" x14ac:dyDescent="0.25">
      <c r="A27" s="25" t="s">
        <v>145</v>
      </c>
      <c r="B27" s="54"/>
      <c r="C27" s="21">
        <v>54311</v>
      </c>
      <c r="D27" s="21"/>
      <c r="E27" s="21"/>
      <c r="F27" s="21"/>
      <c r="G27" s="21"/>
      <c r="H27" s="21"/>
      <c r="I27" s="21"/>
      <c r="J27" s="21"/>
      <c r="K27" s="21">
        <v>200</v>
      </c>
      <c r="L27" s="21"/>
      <c r="M27" s="21"/>
      <c r="N27" s="21"/>
      <c r="O27" s="21"/>
      <c r="P27" s="21"/>
      <c r="Q27" s="21">
        <v>8763</v>
      </c>
      <c r="R27" s="21">
        <v>1531</v>
      </c>
      <c r="S27" s="21"/>
      <c r="T27" s="21"/>
      <c r="U27" s="21"/>
      <c r="V27" s="21"/>
      <c r="W27" s="21"/>
      <c r="X27" s="21">
        <v>960</v>
      </c>
      <c r="Y27" s="21"/>
      <c r="Z27" s="21"/>
      <c r="AA27" s="21">
        <v>53</v>
      </c>
      <c r="AB27" s="21"/>
      <c r="AC27" s="21">
        <v>281792</v>
      </c>
      <c r="AD27" s="21"/>
      <c r="AE27" s="21"/>
      <c r="AF27" s="21"/>
      <c r="AG27" s="21"/>
      <c r="AH27" s="21"/>
      <c r="AI27" s="46">
        <f t="shared" si="0"/>
        <v>347610</v>
      </c>
    </row>
    <row r="28" spans="1:35" ht="30" x14ac:dyDescent="0.25">
      <c r="A28" s="25" t="s">
        <v>247</v>
      </c>
      <c r="B28" s="54"/>
      <c r="C28" s="21"/>
      <c r="D28" s="21"/>
      <c r="E28" s="21"/>
      <c r="F28" s="21"/>
      <c r="G28" s="21"/>
      <c r="H28" s="21"/>
      <c r="I28" s="21"/>
      <c r="J28" s="21"/>
      <c r="K28" s="21"/>
      <c r="L28" s="21">
        <v>15732</v>
      </c>
      <c r="M28" s="21"/>
      <c r="N28" s="21"/>
      <c r="O28" s="21"/>
      <c r="P28" s="21"/>
      <c r="Q28" s="21"/>
      <c r="R28" s="21"/>
      <c r="S28" s="21">
        <v>11095</v>
      </c>
      <c r="T28" s="21"/>
      <c r="U28" s="21"/>
      <c r="V28" s="21"/>
      <c r="W28" s="21"/>
      <c r="X28" s="21">
        <v>746942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>
        <v>32193</v>
      </c>
      <c r="AI28" s="46">
        <f t="shared" si="0"/>
        <v>805962</v>
      </c>
    </row>
    <row r="29" spans="1:35" ht="30" x14ac:dyDescent="0.25">
      <c r="A29" s="25" t="s">
        <v>248</v>
      </c>
      <c r="B29" s="5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>
        <v>901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>
        <v>5723</v>
      </c>
      <c r="AI29" s="46">
        <f t="shared" si="0"/>
        <v>6624</v>
      </c>
    </row>
    <row r="30" spans="1:35" x14ac:dyDescent="0.25">
      <c r="A30" s="25" t="s">
        <v>187</v>
      </c>
      <c r="B30" s="53">
        <v>17314</v>
      </c>
      <c r="C30" s="21"/>
      <c r="D30" s="21">
        <v>22082525</v>
      </c>
      <c r="E30" s="21">
        <v>209692</v>
      </c>
      <c r="F30" s="21">
        <v>263532</v>
      </c>
      <c r="G30" s="21">
        <f>369899+316006</f>
        <v>685905</v>
      </c>
      <c r="H30" s="21">
        <v>1526941</v>
      </c>
      <c r="I30" s="21">
        <v>158360</v>
      </c>
      <c r="J30" s="21">
        <f>J49-J26-J22</f>
        <v>106742</v>
      </c>
      <c r="K30" s="21">
        <v>501</v>
      </c>
      <c r="L30" s="21">
        <v>25618</v>
      </c>
      <c r="M30" s="21"/>
      <c r="N30" s="21">
        <f>112276+146913</f>
        <v>259189</v>
      </c>
      <c r="O30" s="21">
        <v>99063</v>
      </c>
      <c r="P30" s="21">
        <f>719171+41200+775</f>
        <v>761146</v>
      </c>
      <c r="Q30" s="21"/>
      <c r="R30" s="21">
        <f>R49-R27-R26-R22</f>
        <v>195460</v>
      </c>
      <c r="S30" s="21">
        <v>267346</v>
      </c>
      <c r="T30" s="21"/>
      <c r="U30" s="21">
        <v>270000</v>
      </c>
      <c r="V30" s="21">
        <f>65162+9323603+2301483</f>
        <v>11690248</v>
      </c>
      <c r="W30" s="21">
        <v>10737249</v>
      </c>
      <c r="X30" s="21">
        <v>16186040</v>
      </c>
      <c r="Y30" s="21">
        <f>Y49-Y26-Y22</f>
        <v>18873</v>
      </c>
      <c r="Z30" s="21">
        <v>47946</v>
      </c>
      <c r="AA30" s="21"/>
      <c r="AB30" s="21">
        <f>AB49-AB26-AB23-AB22</f>
        <v>937815</v>
      </c>
      <c r="AC30" s="21">
        <f>AC49-AC27-AC25-AC24-AC23-AC22</f>
        <v>135829</v>
      </c>
      <c r="AD30" s="21">
        <f>AD49-AD26-AD23-AD22</f>
        <v>282592</v>
      </c>
      <c r="AE30" s="21">
        <f>AE49-AE26-AE23-AE22</f>
        <v>1113350</v>
      </c>
      <c r="AF30" s="21">
        <v>745655</v>
      </c>
      <c r="AG30" s="21">
        <v>17111845</v>
      </c>
      <c r="AH30" s="21"/>
      <c r="AI30" s="46">
        <f t="shared" si="0"/>
        <v>85936776</v>
      </c>
    </row>
    <row r="31" spans="1:35" ht="30" x14ac:dyDescent="0.25">
      <c r="A31" s="25" t="s">
        <v>146</v>
      </c>
      <c r="B31" s="21"/>
      <c r="C31" s="21"/>
      <c r="D31" s="21">
        <v>950000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>
        <v>1114574</v>
      </c>
      <c r="W31" s="21">
        <v>1625922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46">
        <f t="shared" si="0"/>
        <v>3690496</v>
      </c>
    </row>
    <row r="32" spans="1:35" x14ac:dyDescent="0.25">
      <c r="A32" s="25" t="s">
        <v>378</v>
      </c>
      <c r="B32" s="21"/>
      <c r="C32" s="21"/>
      <c r="D32" s="21">
        <v>4638</v>
      </c>
      <c r="E32" s="21"/>
      <c r="F32" s="21"/>
      <c r="G32" s="21"/>
      <c r="H32" s="21"/>
      <c r="I32" s="21"/>
      <c r="J32" s="21"/>
      <c r="K32" s="21"/>
      <c r="L32" s="21"/>
      <c r="M32" s="21">
        <v>636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46">
        <f t="shared" si="0"/>
        <v>5274</v>
      </c>
    </row>
    <row r="33" spans="1:35" x14ac:dyDescent="0.25">
      <c r="A33" s="25" t="s">
        <v>240</v>
      </c>
      <c r="B33" s="21"/>
      <c r="C33" s="21">
        <v>78951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v>80334</v>
      </c>
      <c r="AB33" s="21"/>
      <c r="AC33" s="21"/>
      <c r="AD33" s="21"/>
      <c r="AE33" s="21"/>
      <c r="AF33" s="21"/>
      <c r="AG33" s="21"/>
      <c r="AH33" s="21"/>
      <c r="AI33" s="46">
        <f t="shared" si="0"/>
        <v>159285</v>
      </c>
    </row>
    <row r="34" spans="1:35" ht="15" customHeight="1" x14ac:dyDescent="0.25">
      <c r="A34" s="25" t="s">
        <v>241</v>
      </c>
      <c r="B34" s="21"/>
      <c r="C34" s="21">
        <v>64380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46">
        <f t="shared" si="0"/>
        <v>64380</v>
      </c>
    </row>
    <row r="35" spans="1:35" x14ac:dyDescent="0.25">
      <c r="A35" s="25" t="s">
        <v>242</v>
      </c>
      <c r="B35" s="21"/>
      <c r="C35" s="21">
        <v>2055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46">
        <f t="shared" si="0"/>
        <v>2055</v>
      </c>
    </row>
    <row r="36" spans="1:35" x14ac:dyDescent="0.25">
      <c r="A36" s="25" t="s">
        <v>243</v>
      </c>
      <c r="B36" s="21"/>
      <c r="C36" s="21">
        <v>1159</v>
      </c>
      <c r="D36" s="21"/>
      <c r="E36" s="21"/>
      <c r="F36" s="21"/>
      <c r="G36" s="21"/>
      <c r="H36" s="21"/>
      <c r="I36" s="21"/>
      <c r="J36" s="21"/>
      <c r="K36" s="21"/>
      <c r="L36" s="21">
        <v>18912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46">
        <f t="shared" si="0"/>
        <v>20071</v>
      </c>
    </row>
    <row r="37" spans="1:35" x14ac:dyDescent="0.25">
      <c r="A37" s="25" t="s">
        <v>207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>
        <v>245706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46">
        <f t="shared" si="0"/>
        <v>245706</v>
      </c>
    </row>
    <row r="38" spans="1:35" ht="30" x14ac:dyDescent="0.25">
      <c r="A38" s="25" t="s">
        <v>282</v>
      </c>
      <c r="B38" s="21"/>
      <c r="C38" s="21"/>
      <c r="D38" s="21"/>
      <c r="E38" s="21"/>
      <c r="F38" s="21">
        <v>102855</v>
      </c>
      <c r="G38" s="21"/>
      <c r="H38" s="21"/>
      <c r="I38" s="21"/>
      <c r="J38" s="21"/>
      <c r="K38" s="21"/>
      <c r="L38" s="21"/>
      <c r="M38" s="21">
        <v>68212</v>
      </c>
      <c r="N38" s="21">
        <v>1000</v>
      </c>
      <c r="O38" s="21"/>
      <c r="P38" s="21">
        <f>228812+1631631</f>
        <v>1860443</v>
      </c>
      <c r="Q38" s="21">
        <v>48733</v>
      </c>
      <c r="R38" s="21"/>
      <c r="S38" s="21"/>
      <c r="T38" s="21">
        <v>22837</v>
      </c>
      <c r="U38" s="21"/>
      <c r="V38" s="21"/>
      <c r="W38" s="21"/>
      <c r="X38" s="21"/>
      <c r="Y38" s="21"/>
      <c r="Z38" s="21">
        <v>543033</v>
      </c>
      <c r="AA38" s="21">
        <v>22791</v>
      </c>
      <c r="AB38" s="21"/>
      <c r="AC38" s="21"/>
      <c r="AD38" s="21"/>
      <c r="AE38" s="21"/>
      <c r="AF38" s="21"/>
      <c r="AG38" s="21"/>
      <c r="AH38" s="21"/>
      <c r="AI38" s="46">
        <f t="shared" si="0"/>
        <v>2669904</v>
      </c>
    </row>
    <row r="39" spans="1:35" x14ac:dyDescent="0.25">
      <c r="A39" s="25" t="s">
        <v>208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20575</v>
      </c>
      <c r="U39" s="21"/>
      <c r="V39" s="21">
        <v>4804151</v>
      </c>
      <c r="W39" s="21">
        <v>5268772</v>
      </c>
      <c r="X39" s="21"/>
      <c r="Y39" s="21"/>
      <c r="Z39" s="21"/>
      <c r="AA39" s="21">
        <v>219211</v>
      </c>
      <c r="AB39" s="21"/>
      <c r="AC39" s="21"/>
      <c r="AD39" s="21"/>
      <c r="AE39" s="21"/>
      <c r="AF39" s="21"/>
      <c r="AG39" s="21"/>
      <c r="AH39" s="21"/>
      <c r="AI39" s="46">
        <f t="shared" si="0"/>
        <v>10312709</v>
      </c>
    </row>
    <row r="40" spans="1:35" x14ac:dyDescent="0.25">
      <c r="A40" s="25" t="s">
        <v>209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>
        <v>16060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>
        <v>60690</v>
      </c>
      <c r="AI40" s="46">
        <f t="shared" si="0"/>
        <v>76750</v>
      </c>
    </row>
    <row r="41" spans="1:35" ht="30" x14ac:dyDescent="0.25">
      <c r="A41" s="25" t="s">
        <v>210</v>
      </c>
      <c r="B41" s="45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>
        <v>5958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46">
        <f t="shared" si="0"/>
        <v>5958</v>
      </c>
    </row>
    <row r="42" spans="1:35" x14ac:dyDescent="0.25">
      <c r="A42" s="21" t="s">
        <v>249</v>
      </c>
      <c r="B42" s="45"/>
      <c r="C42" s="21"/>
      <c r="D42" s="21"/>
      <c r="E42" s="21"/>
      <c r="F42" s="21"/>
      <c r="G42" s="21">
        <f>66006+14896</f>
        <v>80902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>
        <v>8350</v>
      </c>
      <c r="AI42" s="46">
        <f t="shared" si="0"/>
        <v>89252</v>
      </c>
    </row>
    <row r="43" spans="1:35" x14ac:dyDescent="0.25">
      <c r="A43" s="21" t="s">
        <v>250</v>
      </c>
      <c r="B43" s="45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>
        <v>246775</v>
      </c>
      <c r="AI43" s="46">
        <f t="shared" si="0"/>
        <v>246775</v>
      </c>
    </row>
    <row r="44" spans="1:35" x14ac:dyDescent="0.25">
      <c r="A44" s="21" t="s">
        <v>251</v>
      </c>
      <c r="B44" s="4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>
        <v>31100</v>
      </c>
      <c r="AI44" s="46">
        <f t="shared" si="0"/>
        <v>31100</v>
      </c>
    </row>
    <row r="45" spans="1:35" x14ac:dyDescent="0.25">
      <c r="A45" s="21" t="s">
        <v>279</v>
      </c>
      <c r="B45" s="45"/>
      <c r="C45" s="21"/>
      <c r="D45" s="21"/>
      <c r="E45" s="21"/>
      <c r="F45" s="21"/>
      <c r="G45" s="21">
        <f>350758+5265+50042</f>
        <v>406065</v>
      </c>
      <c r="H45" s="21"/>
      <c r="I45" s="21"/>
      <c r="J45" s="21"/>
      <c r="K45" s="21"/>
      <c r="L45" s="21"/>
      <c r="M45" s="21">
        <v>1279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46">
        <f t="shared" si="0"/>
        <v>407344</v>
      </c>
    </row>
    <row r="46" spans="1:35" x14ac:dyDescent="0.25">
      <c r="A46" s="21" t="s">
        <v>252</v>
      </c>
      <c r="B46" s="4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223242</v>
      </c>
      <c r="AI46" s="46">
        <f t="shared" si="0"/>
        <v>223242</v>
      </c>
    </row>
    <row r="47" spans="1:35" x14ac:dyDescent="0.25">
      <c r="A47" s="21" t="s">
        <v>281</v>
      </c>
      <c r="B47" s="45"/>
      <c r="C47" s="21"/>
      <c r="D47" s="21"/>
      <c r="E47" s="21"/>
      <c r="F47" s="21"/>
      <c r="G47" s="21"/>
      <c r="H47" s="21"/>
      <c r="I47" s="21"/>
      <c r="J47" s="21"/>
      <c r="K47" s="21"/>
      <c r="L47" s="21">
        <v>250998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46">
        <f t="shared" si="0"/>
        <v>250998</v>
      </c>
    </row>
    <row r="48" spans="1:35" x14ac:dyDescent="0.25">
      <c r="A48" s="21" t="s">
        <v>253</v>
      </c>
      <c r="B48" s="4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>
        <v>503290</v>
      </c>
      <c r="AI48" s="46">
        <f t="shared" si="0"/>
        <v>503290</v>
      </c>
    </row>
    <row r="49" spans="1:35" s="15" customFormat="1" x14ac:dyDescent="0.25">
      <c r="A49" s="23" t="s">
        <v>40</v>
      </c>
      <c r="B49" s="55">
        <v>70076</v>
      </c>
      <c r="C49" s="24">
        <v>326584</v>
      </c>
      <c r="D49" s="24">
        <v>27200479</v>
      </c>
      <c r="E49" s="24">
        <v>756326</v>
      </c>
      <c r="F49" s="51">
        <v>16132202</v>
      </c>
      <c r="G49" s="24">
        <v>4957121</v>
      </c>
      <c r="H49" s="24">
        <v>6498002</v>
      </c>
      <c r="I49" s="24">
        <v>301922</v>
      </c>
      <c r="J49" s="24">
        <v>175142</v>
      </c>
      <c r="K49" s="24">
        <v>266334</v>
      </c>
      <c r="L49" s="24">
        <v>5629022</v>
      </c>
      <c r="M49" s="24">
        <v>4830419</v>
      </c>
      <c r="N49" s="24">
        <v>961273</v>
      </c>
      <c r="O49" s="24">
        <v>17633470</v>
      </c>
      <c r="P49" s="24">
        <v>102690729</v>
      </c>
      <c r="Q49" s="24">
        <v>14186049</v>
      </c>
      <c r="R49" s="24">
        <v>311945</v>
      </c>
      <c r="S49" s="24">
        <v>1236503</v>
      </c>
      <c r="T49" s="24">
        <v>1191279</v>
      </c>
      <c r="U49" s="24">
        <v>1008934</v>
      </c>
      <c r="V49" s="24">
        <v>66392975</v>
      </c>
      <c r="W49" s="24">
        <v>71527403</v>
      </c>
      <c r="X49" s="24">
        <v>45726221</v>
      </c>
      <c r="Y49" s="24">
        <v>222632</v>
      </c>
      <c r="Z49" s="24">
        <v>7223714</v>
      </c>
      <c r="AA49" s="24">
        <v>984886</v>
      </c>
      <c r="AB49" s="24">
        <v>4135315</v>
      </c>
      <c r="AC49" s="24">
        <v>7422615</v>
      </c>
      <c r="AD49" s="24">
        <v>4674914</v>
      </c>
      <c r="AE49" s="24">
        <v>4997336</v>
      </c>
      <c r="AF49" s="24">
        <v>17555869</v>
      </c>
      <c r="AG49" s="24">
        <v>32202958</v>
      </c>
      <c r="AH49" s="24">
        <v>12601145</v>
      </c>
      <c r="AI49" s="24">
        <f t="shared" si="0"/>
        <v>482031794</v>
      </c>
    </row>
    <row r="50" spans="1:35" s="15" customFormat="1" x14ac:dyDescent="0.25">
      <c r="A50" s="23" t="s">
        <v>147</v>
      </c>
      <c r="B50" s="55">
        <v>302894</v>
      </c>
      <c r="C50" s="24">
        <v>409227</v>
      </c>
      <c r="D50" s="24">
        <v>28340148</v>
      </c>
      <c r="E50" s="24">
        <v>1459891</v>
      </c>
      <c r="F50" s="51">
        <v>19565296</v>
      </c>
      <c r="G50" s="24">
        <v>5422242</v>
      </c>
      <c r="H50" s="24">
        <v>11852265</v>
      </c>
      <c r="I50" s="24">
        <v>437084</v>
      </c>
      <c r="J50" s="24">
        <v>251081</v>
      </c>
      <c r="K50" s="24">
        <v>298219</v>
      </c>
      <c r="L50" s="24">
        <v>7247850</v>
      </c>
      <c r="M50" s="24">
        <v>5763822</v>
      </c>
      <c r="N50" s="24">
        <v>1000834</v>
      </c>
      <c r="O50" s="24">
        <v>18340657</v>
      </c>
      <c r="P50" s="24">
        <v>107080300</v>
      </c>
      <c r="Q50" s="24">
        <v>14644185</v>
      </c>
      <c r="R50" s="24">
        <v>343370</v>
      </c>
      <c r="S50" s="24">
        <v>1666208</v>
      </c>
      <c r="T50" s="24">
        <v>1286348</v>
      </c>
      <c r="U50" s="24">
        <v>1077291</v>
      </c>
      <c r="V50" s="24">
        <v>73286024</v>
      </c>
      <c r="W50" s="24">
        <v>77480562</v>
      </c>
      <c r="X50" s="24">
        <v>57815866</v>
      </c>
      <c r="Y50" s="24">
        <v>286495</v>
      </c>
      <c r="Z50" s="24">
        <v>10646251</v>
      </c>
      <c r="AA50" s="24">
        <v>1058695</v>
      </c>
      <c r="AB50" s="24">
        <v>6268517</v>
      </c>
      <c r="AC50" s="24">
        <v>7972532</v>
      </c>
      <c r="AD50" s="24"/>
      <c r="AE50" s="24">
        <v>6197093</v>
      </c>
      <c r="AF50" s="24">
        <v>18689029</v>
      </c>
      <c r="AG50" s="24">
        <v>46319769</v>
      </c>
      <c r="AH50" s="24">
        <v>12970237</v>
      </c>
      <c r="AI50" s="24">
        <f t="shared" si="0"/>
        <v>545780282</v>
      </c>
    </row>
    <row r="51" spans="1:35" x14ac:dyDescent="0.25">
      <c r="B51" s="12"/>
    </row>
  </sheetData>
  <pageMargins left="0.7" right="0.7" top="0.75" bottom="0.75" header="0.3" footer="0.3"/>
  <ignoredErrors>
    <ignoredError sqref="AC3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9.7109375" style="6" customWidth="1"/>
    <col min="2" max="35" width="16" style="4" customWidth="1"/>
    <col min="36" max="16384" width="9.140625" style="4"/>
  </cols>
  <sheetData>
    <row r="1" spans="1:35" s="17" customFormat="1" ht="37.5" x14ac:dyDescent="0.3">
      <c r="A1" s="28" t="s">
        <v>264</v>
      </c>
    </row>
    <row r="2" spans="1:35" x14ac:dyDescent="0.25">
      <c r="A2" s="80" t="s">
        <v>43</v>
      </c>
    </row>
    <row r="3" spans="1:35" s="22" customFormat="1" x14ac:dyDescent="0.25">
      <c r="A3" s="27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19</v>
      </c>
      <c r="U3" s="26" t="s">
        <v>20</v>
      </c>
      <c r="V3" s="26" t="s">
        <v>21</v>
      </c>
      <c r="W3" s="26" t="s">
        <v>161</v>
      </c>
      <c r="X3" s="26" t="s">
        <v>162</v>
      </c>
      <c r="Y3" s="26" t="s">
        <v>22</v>
      </c>
      <c r="Z3" s="26" t="s">
        <v>23</v>
      </c>
      <c r="AA3" s="26" t="s">
        <v>24</v>
      </c>
      <c r="AB3" s="26" t="s">
        <v>25</v>
      </c>
      <c r="AC3" s="26" t="s">
        <v>26</v>
      </c>
      <c r="AD3" s="26" t="s">
        <v>27</v>
      </c>
      <c r="AE3" s="26" t="s">
        <v>28</v>
      </c>
      <c r="AF3" s="26" t="s">
        <v>29</v>
      </c>
      <c r="AG3" s="26" t="s">
        <v>30</v>
      </c>
      <c r="AH3" s="26" t="s">
        <v>31</v>
      </c>
      <c r="AI3" s="68" t="s">
        <v>304</v>
      </c>
    </row>
    <row r="4" spans="1:35" x14ac:dyDescent="0.25">
      <c r="A4" s="25" t="s">
        <v>142</v>
      </c>
      <c r="B4" s="21">
        <v>2367</v>
      </c>
      <c r="C4" s="21">
        <v>68136</v>
      </c>
      <c r="D4" s="21"/>
      <c r="E4" s="21">
        <v>113498</v>
      </c>
      <c r="F4" s="21">
        <v>961800</v>
      </c>
      <c r="G4" s="21">
        <v>155160</v>
      </c>
      <c r="H4" s="21">
        <v>228158</v>
      </c>
      <c r="I4" s="21">
        <v>57697</v>
      </c>
      <c r="J4" s="21">
        <v>2654</v>
      </c>
      <c r="K4" s="21">
        <v>1765</v>
      </c>
      <c r="L4" s="21"/>
      <c r="M4" s="21">
        <v>88873</v>
      </c>
      <c r="N4" s="21">
        <v>33269</v>
      </c>
      <c r="O4" s="21">
        <v>286628</v>
      </c>
      <c r="P4" s="21">
        <v>117204</v>
      </c>
      <c r="Q4" s="21">
        <v>554719</v>
      </c>
      <c r="R4" s="21">
        <v>15250</v>
      </c>
      <c r="S4" s="21">
        <v>132611</v>
      </c>
      <c r="T4" s="21">
        <v>25859</v>
      </c>
      <c r="U4" s="21">
        <v>13714</v>
      </c>
      <c r="V4" s="21">
        <v>1449953</v>
      </c>
      <c r="W4" s="21">
        <v>1901779</v>
      </c>
      <c r="X4" s="21">
        <v>859885</v>
      </c>
      <c r="Y4" s="21">
        <v>15188</v>
      </c>
      <c r="Z4" s="21">
        <v>271256</v>
      </c>
      <c r="AA4" s="21">
        <v>148175</v>
      </c>
      <c r="AB4" s="21">
        <v>205578</v>
      </c>
      <c r="AC4" s="21">
        <v>198274</v>
      </c>
      <c r="AD4" s="21">
        <v>85219</v>
      </c>
      <c r="AE4" s="21">
        <v>110284</v>
      </c>
      <c r="AF4" s="21">
        <v>949271</v>
      </c>
      <c r="AG4" s="21">
        <v>1128648</v>
      </c>
      <c r="AH4" s="21">
        <v>119708</v>
      </c>
      <c r="AI4" s="21">
        <f>SUM(B4:AH4)</f>
        <v>10302580</v>
      </c>
    </row>
    <row r="5" spans="1:35" ht="15" customHeight="1" x14ac:dyDescent="0.25">
      <c r="A5" s="25" t="s">
        <v>148</v>
      </c>
      <c r="B5" s="21">
        <v>248497</v>
      </c>
      <c r="C5" s="21">
        <v>97573</v>
      </c>
      <c r="D5" s="21">
        <v>39876005</v>
      </c>
      <c r="E5" s="21">
        <v>459827</v>
      </c>
      <c r="F5" s="21">
        <v>12050653</v>
      </c>
      <c r="G5" s="21">
        <v>5547917</v>
      </c>
      <c r="H5" s="21">
        <v>4634884</v>
      </c>
      <c r="I5" s="21">
        <v>94689</v>
      </c>
      <c r="J5" s="21">
        <v>121987</v>
      </c>
      <c r="K5" s="21">
        <v>90317</v>
      </c>
      <c r="L5" s="21">
        <v>1421580</v>
      </c>
      <c r="M5" s="21">
        <v>3492930</v>
      </c>
      <c r="N5" s="21">
        <v>795479</v>
      </c>
      <c r="O5" s="21">
        <v>15578505</v>
      </c>
      <c r="P5" s="21">
        <v>19640457</v>
      </c>
      <c r="Q5" s="21">
        <v>10841505</v>
      </c>
      <c r="R5" s="21">
        <v>76917</v>
      </c>
      <c r="S5" s="21">
        <v>162606</v>
      </c>
      <c r="T5" s="21">
        <v>715136</v>
      </c>
      <c r="U5" s="21">
        <v>530224</v>
      </c>
      <c r="V5" s="21">
        <v>31756908</v>
      </c>
      <c r="W5" s="21">
        <v>12558407</v>
      </c>
      <c r="X5" s="21">
        <v>8770518</v>
      </c>
      <c r="Y5" s="21">
        <v>127742</v>
      </c>
      <c r="Z5" s="21">
        <v>10535666</v>
      </c>
      <c r="AA5" s="21">
        <v>1357151</v>
      </c>
      <c r="AB5" s="21">
        <v>2410448</v>
      </c>
      <c r="AC5" s="21">
        <v>4923325</v>
      </c>
      <c r="AD5" s="21">
        <v>2798</v>
      </c>
      <c r="AE5" s="21">
        <v>27795</v>
      </c>
      <c r="AF5" s="21">
        <v>13717244</v>
      </c>
      <c r="AG5" s="21">
        <v>11290260</v>
      </c>
      <c r="AH5" s="21">
        <v>8228165</v>
      </c>
      <c r="AI5" s="21">
        <f t="shared" ref="AI5:AI16" si="0">SUM(B5:AH5)</f>
        <v>222184115</v>
      </c>
    </row>
    <row r="6" spans="1:35" x14ac:dyDescent="0.25">
      <c r="A6" s="25" t="s">
        <v>149</v>
      </c>
      <c r="B6" s="21"/>
      <c r="C6" s="21"/>
      <c r="D6" s="21"/>
      <c r="E6" s="21"/>
      <c r="F6" s="21"/>
      <c r="G6" s="21">
        <v>52543</v>
      </c>
      <c r="H6" s="21"/>
      <c r="I6" s="21"/>
      <c r="J6" s="21"/>
      <c r="K6" s="21"/>
      <c r="L6" s="21"/>
      <c r="M6" s="21"/>
      <c r="N6" s="21"/>
      <c r="O6" s="21"/>
      <c r="P6" s="21">
        <v>1131959</v>
      </c>
      <c r="Q6" s="21"/>
      <c r="R6" s="21"/>
      <c r="S6" s="21"/>
      <c r="T6" s="21">
        <v>364212</v>
      </c>
      <c r="U6" s="21"/>
      <c r="V6" s="21">
        <v>19565578</v>
      </c>
      <c r="W6" s="21">
        <v>581682</v>
      </c>
      <c r="X6" s="21">
        <v>988782</v>
      </c>
      <c r="Y6" s="21"/>
      <c r="Z6" s="21"/>
      <c r="AA6" s="21"/>
      <c r="AB6" s="21"/>
      <c r="AC6" s="21"/>
      <c r="AD6" s="21">
        <v>19919</v>
      </c>
      <c r="AE6" s="21"/>
      <c r="AF6" s="21"/>
      <c r="AG6" s="21">
        <v>6684</v>
      </c>
      <c r="AH6" s="21"/>
      <c r="AI6" s="21">
        <f t="shared" si="0"/>
        <v>22711359</v>
      </c>
    </row>
    <row r="7" spans="1:35" x14ac:dyDescent="0.25">
      <c r="A7" s="25" t="s">
        <v>150</v>
      </c>
      <c r="B7" s="21">
        <v>34929</v>
      </c>
      <c r="C7" s="21">
        <v>19255</v>
      </c>
      <c r="D7" s="21"/>
      <c r="E7" s="21">
        <v>235556</v>
      </c>
      <c r="F7" s="21">
        <v>5481460</v>
      </c>
      <c r="G7" s="21">
        <v>829808</v>
      </c>
      <c r="H7" s="21">
        <v>2050662</v>
      </c>
      <c r="I7" s="21">
        <v>24015</v>
      </c>
      <c r="J7" s="21">
        <v>3224</v>
      </c>
      <c r="K7" s="21">
        <v>879</v>
      </c>
      <c r="L7" s="21">
        <v>2274497</v>
      </c>
      <c r="M7" s="21">
        <v>373132</v>
      </c>
      <c r="N7" s="21">
        <v>81527</v>
      </c>
      <c r="O7" s="21">
        <v>2313123</v>
      </c>
      <c r="P7" s="21">
        <v>8407538</v>
      </c>
      <c r="Q7" s="21">
        <v>1990040</v>
      </c>
      <c r="R7" s="21">
        <v>57931</v>
      </c>
      <c r="S7" s="21">
        <v>877653</v>
      </c>
      <c r="T7" s="21">
        <v>469795</v>
      </c>
      <c r="U7" s="21">
        <v>86561</v>
      </c>
      <c r="V7" s="21">
        <v>2480992</v>
      </c>
      <c r="W7" s="21">
        <v>4665623</v>
      </c>
      <c r="X7" s="21">
        <v>1849151</v>
      </c>
      <c r="Y7" s="21">
        <v>2415</v>
      </c>
      <c r="Z7" s="21">
        <v>2406216</v>
      </c>
      <c r="AA7" s="21">
        <v>479007</v>
      </c>
      <c r="AB7" s="21">
        <v>740215</v>
      </c>
      <c r="AC7" s="21">
        <v>292063</v>
      </c>
      <c r="AD7" s="21">
        <v>1396840</v>
      </c>
      <c r="AE7" s="21">
        <v>975786</v>
      </c>
      <c r="AF7" s="21">
        <v>3987046</v>
      </c>
      <c r="AG7" s="21">
        <v>982450</v>
      </c>
      <c r="AH7" s="21">
        <v>245232</v>
      </c>
      <c r="AI7" s="21">
        <f t="shared" si="0"/>
        <v>46114621</v>
      </c>
    </row>
    <row r="8" spans="1:35" x14ac:dyDescent="0.25">
      <c r="A8" s="25" t="s">
        <v>153</v>
      </c>
      <c r="B8" s="21"/>
      <c r="C8" s="21">
        <v>333314</v>
      </c>
      <c r="D8" s="21"/>
      <c r="E8" s="21">
        <v>962575</v>
      </c>
      <c r="F8" s="21">
        <v>3144116</v>
      </c>
      <c r="G8" s="21">
        <v>628710</v>
      </c>
      <c r="H8" s="21">
        <v>559071</v>
      </c>
      <c r="I8" s="21">
        <v>120612</v>
      </c>
      <c r="J8" s="21">
        <v>37554</v>
      </c>
      <c r="K8" s="21">
        <v>18085</v>
      </c>
      <c r="L8" s="21">
        <v>319743</v>
      </c>
      <c r="M8" s="21">
        <v>1202067</v>
      </c>
      <c r="N8" s="21">
        <v>733767</v>
      </c>
      <c r="O8" s="21">
        <v>2983802</v>
      </c>
      <c r="P8" s="21">
        <v>4398656</v>
      </c>
      <c r="Q8" s="21">
        <v>1027006</v>
      </c>
      <c r="R8" s="21">
        <v>87353</v>
      </c>
      <c r="S8" s="21">
        <v>233138</v>
      </c>
      <c r="T8" s="21">
        <v>168897</v>
      </c>
      <c r="U8" s="21">
        <v>65946</v>
      </c>
      <c r="V8" s="21">
        <v>3482611.023</v>
      </c>
      <c r="W8" s="21">
        <v>6082234</v>
      </c>
      <c r="X8" s="21"/>
      <c r="Y8" s="21">
        <v>4440</v>
      </c>
      <c r="Z8" s="21">
        <v>6891188</v>
      </c>
      <c r="AA8" s="21">
        <v>533810</v>
      </c>
      <c r="AB8" s="21">
        <v>370940</v>
      </c>
      <c r="AC8" s="21">
        <v>2896539</v>
      </c>
      <c r="AD8" s="21">
        <v>76704</v>
      </c>
      <c r="AE8" s="21">
        <v>70652</v>
      </c>
      <c r="AF8" s="21">
        <v>8968910</v>
      </c>
      <c r="AG8" s="21"/>
      <c r="AH8" s="21">
        <v>456950</v>
      </c>
      <c r="AI8" s="21">
        <f t="shared" si="0"/>
        <v>46859390.023000002</v>
      </c>
    </row>
    <row r="9" spans="1:35" x14ac:dyDescent="0.25">
      <c r="A9" s="25" t="s">
        <v>151</v>
      </c>
      <c r="B9" s="21">
        <v>312918</v>
      </c>
      <c r="C9" s="21">
        <v>494829</v>
      </c>
      <c r="D9" s="21">
        <v>4090045</v>
      </c>
      <c r="E9" s="21">
        <v>177321</v>
      </c>
      <c r="F9" s="21">
        <v>3646423</v>
      </c>
      <c r="G9" s="21">
        <v>41459</v>
      </c>
      <c r="H9" s="21">
        <v>1334135</v>
      </c>
      <c r="I9" s="21">
        <v>139214</v>
      </c>
      <c r="J9" s="21">
        <v>260939</v>
      </c>
      <c r="K9" s="21">
        <v>112882</v>
      </c>
      <c r="L9" s="21">
        <v>201700</v>
      </c>
      <c r="M9" s="21">
        <v>1083184</v>
      </c>
      <c r="N9" s="21">
        <v>481915</v>
      </c>
      <c r="O9" s="21">
        <v>6441062</v>
      </c>
      <c r="P9" s="21">
        <v>5359745</v>
      </c>
      <c r="Q9" s="21">
        <v>1129349</v>
      </c>
      <c r="R9" s="21">
        <v>101</v>
      </c>
      <c r="S9" s="21">
        <v>526323</v>
      </c>
      <c r="T9" s="21">
        <v>272344</v>
      </c>
      <c r="U9" s="21">
        <v>1270121</v>
      </c>
      <c r="V9" s="21">
        <v>9297232.977</v>
      </c>
      <c r="W9" s="21">
        <v>15401248</v>
      </c>
      <c r="X9" s="21">
        <v>12153212</v>
      </c>
      <c r="Y9" s="21">
        <v>30484</v>
      </c>
      <c r="Z9" s="21">
        <v>2674939</v>
      </c>
      <c r="AA9" s="21">
        <v>1497773</v>
      </c>
      <c r="AB9" s="21">
        <v>2708677</v>
      </c>
      <c r="AC9" s="21">
        <v>1591863</v>
      </c>
      <c r="AD9" s="21">
        <v>258614</v>
      </c>
      <c r="AE9" s="21">
        <v>424189</v>
      </c>
      <c r="AF9" s="21">
        <v>4205339</v>
      </c>
      <c r="AG9" s="21">
        <v>22124971</v>
      </c>
      <c r="AH9" s="21">
        <v>705371</v>
      </c>
      <c r="AI9" s="21">
        <f t="shared" si="0"/>
        <v>100449921.977</v>
      </c>
    </row>
    <row r="10" spans="1:35" x14ac:dyDescent="0.25">
      <c r="A10" s="25" t="s">
        <v>211</v>
      </c>
      <c r="B10" s="21">
        <v>6563</v>
      </c>
      <c r="C10" s="21">
        <v>45184</v>
      </c>
      <c r="D10" s="21"/>
      <c r="E10" s="21"/>
      <c r="F10" s="21"/>
      <c r="G10" s="21"/>
      <c r="H10" s="21"/>
      <c r="I10" s="21"/>
      <c r="J10" s="21"/>
      <c r="K10" s="21">
        <v>5817</v>
      </c>
      <c r="L10" s="21"/>
      <c r="M10" s="21"/>
      <c r="N10" s="21">
        <v>13688</v>
      </c>
      <c r="O10" s="21">
        <v>102183</v>
      </c>
      <c r="P10" s="21">
        <v>68593</v>
      </c>
      <c r="Q10" s="21"/>
      <c r="R10" s="21">
        <v>21821</v>
      </c>
      <c r="S10" s="21"/>
      <c r="T10" s="21"/>
      <c r="U10" s="21"/>
      <c r="W10" s="21"/>
      <c r="X10" s="21"/>
      <c r="Y10" s="21"/>
      <c r="Z10" s="21"/>
      <c r="AA10" s="21">
        <v>11104</v>
      </c>
      <c r="AB10" s="21">
        <v>64694</v>
      </c>
      <c r="AC10" s="21">
        <v>151524</v>
      </c>
      <c r="AD10" s="21"/>
      <c r="AE10" s="21"/>
      <c r="AF10" s="21"/>
      <c r="AG10" s="21"/>
      <c r="AH10" s="21"/>
      <c r="AI10" s="21">
        <f t="shared" si="0"/>
        <v>491171</v>
      </c>
    </row>
    <row r="11" spans="1:35" x14ac:dyDescent="0.25">
      <c r="A11" s="25" t="s">
        <v>246</v>
      </c>
      <c r="B11" s="21">
        <v>86140</v>
      </c>
      <c r="C11" s="21">
        <v>462780</v>
      </c>
      <c r="D11" s="21">
        <v>29463525</v>
      </c>
      <c r="E11" s="21">
        <v>1977376</v>
      </c>
      <c r="F11" s="21">
        <v>66248133</v>
      </c>
      <c r="G11" s="21">
        <v>20988639</v>
      </c>
      <c r="H11" s="21">
        <v>40483818</v>
      </c>
      <c r="I11" s="21">
        <v>583506</v>
      </c>
      <c r="J11" s="21">
        <v>162321</v>
      </c>
      <c r="K11" s="21">
        <v>159578</v>
      </c>
      <c r="L11" s="21">
        <v>59405415</v>
      </c>
      <c r="M11" s="21">
        <v>18086672</v>
      </c>
      <c r="N11" s="21">
        <v>1488520</v>
      </c>
      <c r="O11" s="21">
        <v>35698878</v>
      </c>
      <c r="P11" s="21">
        <v>162259931</v>
      </c>
      <c r="Q11" s="21">
        <v>44157993</v>
      </c>
      <c r="R11" s="21">
        <v>1219097</v>
      </c>
      <c r="S11" s="21">
        <v>5815109</v>
      </c>
      <c r="T11" s="21">
        <v>7017986</v>
      </c>
      <c r="U11" s="21">
        <v>960255</v>
      </c>
      <c r="V11" s="21">
        <v>153558586</v>
      </c>
      <c r="W11" s="21">
        <v>227214089</v>
      </c>
      <c r="X11" s="21">
        <v>127185016</v>
      </c>
      <c r="Y11" s="21">
        <v>1362729</v>
      </c>
      <c r="Z11" s="21">
        <v>52720093</v>
      </c>
      <c r="AA11" s="21">
        <v>1758058</v>
      </c>
      <c r="AB11" s="21">
        <v>27174063</v>
      </c>
      <c r="AC11" s="21">
        <v>24639957</v>
      </c>
      <c r="AD11" s="21">
        <v>60936209</v>
      </c>
      <c r="AE11" s="21">
        <v>2737654</v>
      </c>
      <c r="AF11" s="21">
        <v>37432387</v>
      </c>
      <c r="AG11" s="21">
        <v>180815585</v>
      </c>
      <c r="AH11" s="21">
        <v>22017084</v>
      </c>
      <c r="AI11" s="21">
        <f t="shared" si="0"/>
        <v>1416277182</v>
      </c>
    </row>
    <row r="12" spans="1:35" x14ac:dyDescent="0.25">
      <c r="A12" s="25" t="s">
        <v>212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W12" s="21"/>
      <c r="X12" s="21"/>
      <c r="Y12" s="21"/>
      <c r="Z12" s="21"/>
      <c r="AA12" s="21"/>
      <c r="AB12" s="21">
        <v>11250</v>
      </c>
      <c r="AC12" s="21"/>
      <c r="AD12" s="21"/>
      <c r="AE12" s="21"/>
      <c r="AF12" s="21"/>
      <c r="AG12" s="21"/>
      <c r="AH12" s="21"/>
      <c r="AI12" s="21">
        <f t="shared" si="0"/>
        <v>11250</v>
      </c>
    </row>
    <row r="13" spans="1:35" x14ac:dyDescent="0.25">
      <c r="A13" s="25" t="s">
        <v>152</v>
      </c>
      <c r="B13" s="21"/>
      <c r="C13" s="21">
        <v>1048</v>
      </c>
      <c r="D13" s="21"/>
      <c r="E13" s="21">
        <v>22652</v>
      </c>
      <c r="F13" s="21">
        <v>171312</v>
      </c>
      <c r="G13" s="21">
        <v>334420</v>
      </c>
      <c r="H13" s="21"/>
      <c r="I13" s="21">
        <v>8735</v>
      </c>
      <c r="J13" s="21"/>
      <c r="K13" s="21"/>
      <c r="L13" s="21">
        <v>15397</v>
      </c>
      <c r="M13" s="21">
        <v>50605</v>
      </c>
      <c r="N13" s="21"/>
      <c r="O13" s="21">
        <v>210037</v>
      </c>
      <c r="P13" s="21">
        <v>1774975</v>
      </c>
      <c r="Q13" s="21">
        <v>308938</v>
      </c>
      <c r="R13" s="21">
        <v>474</v>
      </c>
      <c r="S13" s="21">
        <v>7438</v>
      </c>
      <c r="T13" s="21">
        <v>22836</v>
      </c>
      <c r="U13" s="21">
        <v>10499</v>
      </c>
      <c r="V13" s="21">
        <v>1114574</v>
      </c>
      <c r="W13" s="21">
        <v>1786843</v>
      </c>
      <c r="X13" s="21">
        <v>804204</v>
      </c>
      <c r="Y13" s="21">
        <v>5538</v>
      </c>
      <c r="Z13" s="21"/>
      <c r="AA13" s="21">
        <v>15819</v>
      </c>
      <c r="AB13" s="21">
        <v>53935</v>
      </c>
      <c r="AC13" s="21">
        <v>55762</v>
      </c>
      <c r="AD13" s="21">
        <v>250659</v>
      </c>
      <c r="AE13" s="21">
        <v>56425</v>
      </c>
      <c r="AF13" s="21">
        <v>262356</v>
      </c>
      <c r="AG13" s="21">
        <v>1745534</v>
      </c>
      <c r="AH13" s="21">
        <v>32192</v>
      </c>
      <c r="AI13" s="21">
        <f t="shared" si="0"/>
        <v>9123207</v>
      </c>
    </row>
    <row r="14" spans="1:35" ht="30" x14ac:dyDescent="0.25">
      <c r="A14" s="25" t="s">
        <v>245</v>
      </c>
      <c r="B14" s="21"/>
      <c r="C14" s="21"/>
      <c r="D14" s="21"/>
      <c r="E14" s="21"/>
      <c r="F14" s="21"/>
      <c r="G14" s="21">
        <v>55307</v>
      </c>
      <c r="H14" s="21"/>
      <c r="I14" s="21">
        <v>367</v>
      </c>
      <c r="J14" s="21"/>
      <c r="K14" s="21"/>
      <c r="L14" s="21"/>
      <c r="M14" s="21"/>
      <c r="N14" s="21"/>
      <c r="O14" s="21"/>
      <c r="P14" s="21">
        <v>228812</v>
      </c>
      <c r="Q14" s="21"/>
      <c r="R14" s="21"/>
      <c r="S14" s="21">
        <v>901</v>
      </c>
      <c r="T14" s="21"/>
      <c r="U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v>5723</v>
      </c>
      <c r="AI14" s="21">
        <f t="shared" si="0"/>
        <v>291110</v>
      </c>
    </row>
    <row r="15" spans="1:35" x14ac:dyDescent="0.25">
      <c r="A15" s="25" t="s">
        <v>187</v>
      </c>
      <c r="B15" s="21">
        <v>83980</v>
      </c>
      <c r="C15" s="21">
        <v>416690</v>
      </c>
      <c r="D15" s="21">
        <v>27145240</v>
      </c>
      <c r="E15" s="21">
        <f>E16-E13-E11-E9-E8-E7-E5-E4</f>
        <v>615427</v>
      </c>
      <c r="F15" s="21">
        <f>F16-F13-F11-F9-F8-F7-F5-F4</f>
        <v>2313152</v>
      </c>
      <c r="G15" s="21">
        <f>G16-G14-G13-G11-G9-G8-G7-G6-G5-G4</f>
        <v>2545592</v>
      </c>
      <c r="H15" s="21">
        <v>1014493</v>
      </c>
      <c r="I15" s="21">
        <v>684204</v>
      </c>
      <c r="J15" s="21">
        <v>11770</v>
      </c>
      <c r="K15" s="21">
        <f>K16-K11-K10-K9-K8-K7-K5-K4</f>
        <v>80909</v>
      </c>
      <c r="L15" s="21">
        <f>L16-L13-L11-L9-L8-L7-L5</f>
        <v>249835</v>
      </c>
      <c r="M15" s="21">
        <f>2675+430045</f>
        <v>432720</v>
      </c>
      <c r="N15" s="21">
        <f>N16-N11-N10-N9-N8-N7-N5-N4</f>
        <v>284985</v>
      </c>
      <c r="O15" s="21">
        <f>O16-O13-O11-O10-O9-O8-O7-O5-O4</f>
        <v>507788</v>
      </c>
      <c r="P15" s="21">
        <f>P16-P14-P13-P11-P10-P9-P8-P7-P6-P5-P4</f>
        <v>5623810</v>
      </c>
      <c r="Q15" s="21">
        <v>819765</v>
      </c>
      <c r="R15" s="21">
        <v>177785</v>
      </c>
      <c r="S15" s="21">
        <v>332007</v>
      </c>
      <c r="T15" s="21">
        <v>538203</v>
      </c>
      <c r="U15" s="21">
        <v>186244</v>
      </c>
      <c r="V15" s="21">
        <f>292+65162+6090488</f>
        <v>6155942</v>
      </c>
      <c r="W15" s="21">
        <v>2464028</v>
      </c>
      <c r="X15" s="21">
        <f>57317+6433944</f>
        <v>6491261</v>
      </c>
      <c r="Y15" s="21">
        <v>21977</v>
      </c>
      <c r="Z15" s="21">
        <v>1939629</v>
      </c>
      <c r="AA15" s="21">
        <v>491638</v>
      </c>
      <c r="AB15" s="21">
        <v>648299</v>
      </c>
      <c r="AC15" s="21">
        <v>106475</v>
      </c>
      <c r="AD15" s="21">
        <f>AD16-AD13-AD11-AD9-AD8-AD7-AD6-AD5-AD4</f>
        <v>1305056</v>
      </c>
      <c r="AE15" s="21">
        <v>1633991</v>
      </c>
      <c r="AF15" s="21">
        <v>630227</v>
      </c>
      <c r="AG15" s="21">
        <v>1330</v>
      </c>
      <c r="AH15" s="21">
        <v>41489</v>
      </c>
      <c r="AI15" s="21">
        <f t="shared" si="0"/>
        <v>65995941</v>
      </c>
    </row>
    <row r="16" spans="1:35" s="15" customFormat="1" x14ac:dyDescent="0.25">
      <c r="A16" s="23" t="s">
        <v>61</v>
      </c>
      <c r="B16" s="24">
        <v>775394</v>
      </c>
      <c r="C16" s="24">
        <v>1938809</v>
      </c>
      <c r="D16" s="24">
        <v>100574815</v>
      </c>
      <c r="E16" s="24">
        <v>4564232</v>
      </c>
      <c r="F16" s="24">
        <v>94017049</v>
      </c>
      <c r="G16" s="24">
        <v>31179555</v>
      </c>
      <c r="H16" s="24">
        <v>50305221</v>
      </c>
      <c r="I16" s="24">
        <v>1713039</v>
      </c>
      <c r="J16" s="24">
        <v>600449</v>
      </c>
      <c r="K16" s="24">
        <v>470232</v>
      </c>
      <c r="L16" s="24">
        <v>63888167</v>
      </c>
      <c r="M16" s="24">
        <v>24810184</v>
      </c>
      <c r="N16" s="24">
        <v>3913150</v>
      </c>
      <c r="O16" s="24">
        <v>64122006</v>
      </c>
      <c r="P16" s="24">
        <v>209011680</v>
      </c>
      <c r="Q16" s="24">
        <v>60829315</v>
      </c>
      <c r="R16" s="24">
        <v>1656729</v>
      </c>
      <c r="S16" s="24">
        <v>8087786</v>
      </c>
      <c r="T16" s="24">
        <v>9595268</v>
      </c>
      <c r="U16" s="24">
        <v>3123564</v>
      </c>
      <c r="V16" s="24">
        <v>228862377</v>
      </c>
      <c r="W16" s="24">
        <v>272655934</v>
      </c>
      <c r="X16" s="24">
        <v>159102030</v>
      </c>
      <c r="Y16" s="24">
        <v>1570513</v>
      </c>
      <c r="Z16" s="24">
        <v>77438987</v>
      </c>
      <c r="AA16" s="24">
        <v>6292535</v>
      </c>
      <c r="AB16" s="24">
        <v>34388099</v>
      </c>
      <c r="AC16" s="24">
        <v>34855782</v>
      </c>
      <c r="AD16" s="24">
        <v>64332018</v>
      </c>
      <c r="AE16" s="24">
        <v>6036776</v>
      </c>
      <c r="AF16" s="24">
        <v>70152780</v>
      </c>
      <c r="AG16" s="24">
        <v>218095462</v>
      </c>
      <c r="AH16" s="24">
        <v>31851914</v>
      </c>
      <c r="AI16" s="24">
        <f t="shared" si="0"/>
        <v>1940811851</v>
      </c>
    </row>
    <row r="17" spans="21:29" x14ac:dyDescent="0.25">
      <c r="U17" s="15"/>
      <c r="AA17" s="15"/>
      <c r="AC17" s="1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5.140625" style="88" customWidth="1"/>
    <col min="2" max="2" width="12.7109375" style="102" customWidth="1"/>
    <col min="3" max="5" width="12.7109375" style="88" customWidth="1"/>
    <col min="6" max="6" width="12.7109375" style="92" customWidth="1"/>
    <col min="7" max="7" width="12.7109375" style="102" customWidth="1"/>
    <col min="8" max="11" width="12.7109375" style="88" customWidth="1"/>
    <col min="12" max="12" width="12.7109375" style="102" customWidth="1"/>
    <col min="13" max="16" width="12.7109375" style="88" customWidth="1"/>
    <col min="17" max="17" width="12.7109375" style="102" customWidth="1"/>
    <col min="18" max="19" width="12.7109375" style="4" customWidth="1"/>
    <col min="20" max="20" width="12.7109375" style="88" customWidth="1"/>
    <col min="21" max="21" width="12.7109375" style="93" customWidth="1"/>
    <col min="22" max="22" width="12.7109375" style="102" customWidth="1"/>
    <col min="23" max="25" width="12.7109375" style="4" customWidth="1"/>
    <col min="26" max="26" width="12.7109375" style="88" customWidth="1"/>
    <col min="27" max="27" width="12.7109375" style="102" customWidth="1"/>
    <col min="28" max="28" width="13.85546875" style="4" bestFit="1" customWidth="1"/>
    <col min="29" max="30" width="12.7109375" style="4" customWidth="1"/>
    <col min="31" max="36" width="12.7109375" style="88" customWidth="1"/>
    <col min="37" max="37" width="12.7109375" style="105" customWidth="1"/>
    <col min="38" max="41" width="12.7109375" style="88" customWidth="1"/>
    <col min="42" max="42" width="12.7109375" style="102" customWidth="1"/>
    <col min="43" max="46" width="12.7109375" style="88" customWidth="1"/>
    <col min="47" max="47" width="12.7109375" style="4" customWidth="1"/>
    <col min="48" max="51" width="12.7109375" style="88" customWidth="1"/>
    <col min="52" max="52" width="12.7109375" style="102" customWidth="1"/>
    <col min="53" max="56" width="12.7109375" style="88" customWidth="1"/>
    <col min="57" max="57" width="12.7109375" style="102" customWidth="1"/>
    <col min="58" max="61" width="12.7109375" style="88" customWidth="1"/>
    <col min="62" max="62" width="12.7109375" style="102" customWidth="1"/>
    <col min="63" max="65" width="12.7109375" style="4" customWidth="1"/>
    <col min="66" max="66" width="12.7109375" style="88" customWidth="1"/>
    <col min="67" max="67" width="12.7109375" style="105" customWidth="1"/>
    <col min="68" max="71" width="12.7109375" style="88" customWidth="1"/>
    <col min="72" max="72" width="12.7109375" style="102" customWidth="1"/>
    <col min="73" max="75" width="12.7109375" style="4" customWidth="1"/>
    <col min="76" max="76" width="12.7109375" style="88" customWidth="1"/>
    <col min="77" max="77" width="12.7109375" style="102" customWidth="1"/>
    <col min="78" max="80" width="12.7109375" style="4" customWidth="1"/>
    <col min="81" max="81" width="12.7109375" style="88" customWidth="1"/>
    <col min="82" max="82" width="12.7109375" style="102" customWidth="1"/>
    <col min="83" max="85" width="12.7109375" style="4" customWidth="1"/>
    <col min="86" max="86" width="12.7109375" style="88" customWidth="1"/>
    <col min="87" max="87" width="12.7109375" style="102" customWidth="1"/>
    <col min="88" max="90" width="12.7109375" style="4" customWidth="1"/>
    <col min="91" max="91" width="12.7109375" style="88" customWidth="1"/>
    <col min="92" max="92" width="12.7109375" style="102" customWidth="1"/>
    <col min="93" max="95" width="12.7109375" style="4" customWidth="1"/>
    <col min="96" max="96" width="12.7109375" style="88" customWidth="1"/>
    <col min="97" max="97" width="12.7109375" style="102" customWidth="1"/>
    <col min="98" max="100" width="12.7109375" style="4" customWidth="1"/>
    <col min="101" max="101" width="12.7109375" style="93" customWidth="1"/>
    <col min="102" max="106" width="12.7109375" style="88" customWidth="1"/>
    <col min="107" max="107" width="12.7109375" style="102" customWidth="1"/>
    <col min="108" max="112" width="12.7109375" style="88" customWidth="1"/>
    <col min="113" max="115" width="12.7109375" style="4" customWidth="1"/>
    <col min="116" max="116" width="12.7109375" style="88" customWidth="1"/>
    <col min="117" max="117" width="12.7109375" style="102" customWidth="1"/>
    <col min="118" max="121" width="12.7109375" style="88" customWidth="1"/>
    <col min="122" max="122" width="12.7109375" style="105" customWidth="1"/>
    <col min="123" max="126" width="12.7109375" style="88" customWidth="1"/>
    <col min="127" max="127" width="12.7109375" style="105" customWidth="1"/>
    <col min="128" max="131" width="12.7109375" style="88" customWidth="1"/>
    <col min="132" max="132" width="12.7109375" style="102" customWidth="1"/>
    <col min="133" max="135" width="12.7109375" style="4" customWidth="1"/>
    <col min="136" max="136" width="12.7109375" style="88" customWidth="1"/>
    <col min="137" max="137" width="12.7109375" style="102" customWidth="1"/>
    <col min="138" max="141" width="12.7109375" style="88" customWidth="1"/>
    <col min="142" max="142" width="12.7109375" style="102" customWidth="1"/>
    <col min="143" max="146" width="12.7109375" style="88" customWidth="1"/>
    <col min="147" max="147" width="12.7109375" style="102" customWidth="1"/>
    <col min="148" max="151" width="12.7109375" style="88" customWidth="1"/>
    <col min="152" max="152" width="12.7109375" style="105" customWidth="1"/>
    <col min="153" max="156" width="12.7109375" style="88" customWidth="1"/>
    <col min="157" max="160" width="12.7109375" style="4" customWidth="1"/>
    <col min="161" max="161" width="12.7109375" style="88" customWidth="1"/>
    <col min="162" max="162" width="12.7109375" style="102" customWidth="1"/>
    <col min="163" max="165" width="12.7109375" style="4" customWidth="1"/>
    <col min="166" max="166" width="12.7109375" style="88" customWidth="1"/>
    <col min="167" max="16384" width="9.140625" style="88"/>
  </cols>
  <sheetData>
    <row r="1" spans="1:166" ht="18.75" x14ac:dyDescent="0.3">
      <c r="A1" s="87" t="s">
        <v>352</v>
      </c>
      <c r="CH1" s="93"/>
    </row>
    <row r="2" spans="1:166" x14ac:dyDescent="0.25">
      <c r="A2" s="88" t="s">
        <v>320</v>
      </c>
    </row>
    <row r="3" spans="1:166" s="90" customFormat="1" x14ac:dyDescent="0.25">
      <c r="A3" s="89"/>
      <c r="B3" s="117" t="s">
        <v>1</v>
      </c>
      <c r="C3" s="117"/>
      <c r="D3" s="117"/>
      <c r="E3" s="117"/>
      <c r="F3" s="117"/>
      <c r="G3" s="117" t="s">
        <v>2</v>
      </c>
      <c r="H3" s="117"/>
      <c r="I3" s="117"/>
      <c r="J3" s="117"/>
      <c r="K3" s="117"/>
      <c r="L3" s="117" t="s">
        <v>3</v>
      </c>
      <c r="M3" s="117"/>
      <c r="N3" s="117"/>
      <c r="O3" s="117"/>
      <c r="P3" s="117"/>
      <c r="Q3" s="117" t="s">
        <v>4</v>
      </c>
      <c r="R3" s="117"/>
      <c r="S3" s="117"/>
      <c r="T3" s="117"/>
      <c r="U3" s="117"/>
      <c r="V3" s="117" t="s">
        <v>5</v>
      </c>
      <c r="W3" s="117"/>
      <c r="X3" s="117"/>
      <c r="Y3" s="117"/>
      <c r="Z3" s="117"/>
      <c r="AA3" s="117" t="s">
        <v>6</v>
      </c>
      <c r="AB3" s="117"/>
      <c r="AC3" s="117"/>
      <c r="AD3" s="117"/>
      <c r="AE3" s="117"/>
      <c r="AF3" s="117" t="s">
        <v>7</v>
      </c>
      <c r="AG3" s="117"/>
      <c r="AH3" s="117"/>
      <c r="AI3" s="117"/>
      <c r="AJ3" s="117"/>
      <c r="AK3" s="117" t="s">
        <v>8</v>
      </c>
      <c r="AL3" s="117"/>
      <c r="AM3" s="117"/>
      <c r="AN3" s="117"/>
      <c r="AO3" s="117"/>
      <c r="AP3" s="117" t="s">
        <v>9</v>
      </c>
      <c r="AQ3" s="117"/>
      <c r="AR3" s="117"/>
      <c r="AS3" s="117"/>
      <c r="AT3" s="117"/>
      <c r="AU3" s="117" t="s">
        <v>10</v>
      </c>
      <c r="AV3" s="117"/>
      <c r="AW3" s="117"/>
      <c r="AX3" s="117"/>
      <c r="AY3" s="117"/>
      <c r="AZ3" s="117" t="s">
        <v>11</v>
      </c>
      <c r="BA3" s="117"/>
      <c r="BB3" s="117"/>
      <c r="BC3" s="117"/>
      <c r="BD3" s="117"/>
      <c r="BE3" s="117" t="s">
        <v>12</v>
      </c>
      <c r="BF3" s="117"/>
      <c r="BG3" s="117"/>
      <c r="BH3" s="117"/>
      <c r="BI3" s="117"/>
      <c r="BJ3" s="117" t="s">
        <v>13</v>
      </c>
      <c r="BK3" s="117"/>
      <c r="BL3" s="117"/>
      <c r="BM3" s="117"/>
      <c r="BN3" s="117"/>
      <c r="BO3" s="117" t="s">
        <v>14</v>
      </c>
      <c r="BP3" s="117"/>
      <c r="BQ3" s="117"/>
      <c r="BR3" s="117"/>
      <c r="BS3" s="117"/>
      <c r="BT3" s="117" t="s">
        <v>15</v>
      </c>
      <c r="BU3" s="117"/>
      <c r="BV3" s="117"/>
      <c r="BW3" s="117"/>
      <c r="BX3" s="117"/>
      <c r="BY3" s="117" t="s">
        <v>16</v>
      </c>
      <c r="BZ3" s="117"/>
      <c r="CA3" s="117"/>
      <c r="CB3" s="117"/>
      <c r="CC3" s="117"/>
      <c r="CD3" s="117" t="s">
        <v>17</v>
      </c>
      <c r="CE3" s="117"/>
      <c r="CF3" s="117"/>
      <c r="CG3" s="117"/>
      <c r="CH3" s="117"/>
      <c r="CI3" s="117" t="s">
        <v>18</v>
      </c>
      <c r="CJ3" s="117"/>
      <c r="CK3" s="117"/>
      <c r="CL3" s="117"/>
      <c r="CM3" s="117"/>
      <c r="CN3" s="117" t="s">
        <v>19</v>
      </c>
      <c r="CO3" s="117"/>
      <c r="CP3" s="117"/>
      <c r="CQ3" s="117"/>
      <c r="CR3" s="117"/>
      <c r="CS3" s="117" t="s">
        <v>20</v>
      </c>
      <c r="CT3" s="117"/>
      <c r="CU3" s="117"/>
      <c r="CV3" s="117"/>
      <c r="CW3" s="117"/>
      <c r="CX3" s="117" t="s">
        <v>21</v>
      </c>
      <c r="CY3" s="117"/>
      <c r="CZ3" s="117"/>
      <c r="DA3" s="117"/>
      <c r="DB3" s="117"/>
      <c r="DC3" s="117" t="s">
        <v>161</v>
      </c>
      <c r="DD3" s="117"/>
      <c r="DE3" s="117"/>
      <c r="DF3" s="117"/>
      <c r="DG3" s="117"/>
      <c r="DH3" s="117" t="s">
        <v>162</v>
      </c>
      <c r="DI3" s="117"/>
      <c r="DJ3" s="117"/>
      <c r="DK3" s="117"/>
      <c r="DL3" s="117"/>
      <c r="DM3" s="117" t="s">
        <v>22</v>
      </c>
      <c r="DN3" s="117"/>
      <c r="DO3" s="117"/>
      <c r="DP3" s="117"/>
      <c r="DQ3" s="117"/>
      <c r="DR3" s="117" t="s">
        <v>23</v>
      </c>
      <c r="DS3" s="117"/>
      <c r="DT3" s="117"/>
      <c r="DU3" s="117"/>
      <c r="DV3" s="117"/>
      <c r="DW3" s="117" t="s">
        <v>24</v>
      </c>
      <c r="DX3" s="117"/>
      <c r="DY3" s="117"/>
      <c r="DZ3" s="117"/>
      <c r="EA3" s="117"/>
      <c r="EB3" s="117" t="s">
        <v>25</v>
      </c>
      <c r="EC3" s="117"/>
      <c r="ED3" s="117"/>
      <c r="EE3" s="117"/>
      <c r="EF3" s="117"/>
      <c r="EG3" s="117" t="s">
        <v>26</v>
      </c>
      <c r="EH3" s="117"/>
      <c r="EI3" s="117"/>
      <c r="EJ3" s="117"/>
      <c r="EK3" s="117"/>
      <c r="EL3" s="117" t="s">
        <v>27</v>
      </c>
      <c r="EM3" s="117"/>
      <c r="EN3" s="117"/>
      <c r="EO3" s="117"/>
      <c r="EP3" s="117"/>
      <c r="EQ3" s="117" t="s">
        <v>28</v>
      </c>
      <c r="ER3" s="117"/>
      <c r="ES3" s="117"/>
      <c r="ET3" s="117"/>
      <c r="EU3" s="117"/>
      <c r="EV3" s="117" t="s">
        <v>29</v>
      </c>
      <c r="EW3" s="117"/>
      <c r="EX3" s="117"/>
      <c r="EY3" s="117"/>
      <c r="EZ3" s="117"/>
      <c r="FA3" s="117" t="s">
        <v>30</v>
      </c>
      <c r="FB3" s="117"/>
      <c r="FC3" s="117"/>
      <c r="FD3" s="117"/>
      <c r="FE3" s="117"/>
      <c r="FF3" s="117" t="s">
        <v>31</v>
      </c>
      <c r="FG3" s="117"/>
      <c r="FH3" s="117"/>
      <c r="FI3" s="117"/>
      <c r="FJ3" s="117"/>
    </row>
    <row r="4" spans="1:166" s="91" customFormat="1" ht="15" customHeight="1" x14ac:dyDescent="0.25">
      <c r="A4" s="115" t="s">
        <v>353</v>
      </c>
      <c r="B4" s="116" t="s">
        <v>360</v>
      </c>
      <c r="C4" s="115" t="s">
        <v>361</v>
      </c>
      <c r="D4" s="115"/>
      <c r="E4" s="115"/>
      <c r="F4" s="118" t="s">
        <v>365</v>
      </c>
      <c r="G4" s="116" t="s">
        <v>360</v>
      </c>
      <c r="H4" s="115" t="s">
        <v>361</v>
      </c>
      <c r="I4" s="115"/>
      <c r="J4" s="115"/>
      <c r="K4" s="115" t="s">
        <v>365</v>
      </c>
      <c r="L4" s="116" t="s">
        <v>360</v>
      </c>
      <c r="M4" s="115" t="s">
        <v>361</v>
      </c>
      <c r="N4" s="115"/>
      <c r="O4" s="115"/>
      <c r="P4" s="115" t="s">
        <v>365</v>
      </c>
      <c r="Q4" s="116" t="s">
        <v>360</v>
      </c>
      <c r="R4" s="115" t="s">
        <v>361</v>
      </c>
      <c r="S4" s="115"/>
      <c r="T4" s="115"/>
      <c r="U4" s="119" t="s">
        <v>365</v>
      </c>
      <c r="V4" s="116" t="s">
        <v>360</v>
      </c>
      <c r="W4" s="116" t="s">
        <v>361</v>
      </c>
      <c r="X4" s="116"/>
      <c r="Y4" s="116"/>
      <c r="Z4" s="115" t="s">
        <v>365</v>
      </c>
      <c r="AA4" s="116" t="s">
        <v>360</v>
      </c>
      <c r="AB4" s="116" t="s">
        <v>361</v>
      </c>
      <c r="AC4" s="116"/>
      <c r="AD4" s="116"/>
      <c r="AE4" s="115" t="s">
        <v>365</v>
      </c>
      <c r="AF4" s="116" t="s">
        <v>360</v>
      </c>
      <c r="AG4" s="116" t="s">
        <v>361</v>
      </c>
      <c r="AH4" s="116"/>
      <c r="AI4" s="116"/>
      <c r="AJ4" s="115" t="s">
        <v>365</v>
      </c>
      <c r="AK4" s="116" t="s">
        <v>360</v>
      </c>
      <c r="AL4" s="116" t="s">
        <v>361</v>
      </c>
      <c r="AM4" s="116"/>
      <c r="AN4" s="116"/>
      <c r="AO4" s="115" t="s">
        <v>365</v>
      </c>
      <c r="AP4" s="116" t="s">
        <v>360</v>
      </c>
      <c r="AQ4" s="116" t="s">
        <v>361</v>
      </c>
      <c r="AR4" s="116"/>
      <c r="AS4" s="116"/>
      <c r="AT4" s="115" t="s">
        <v>365</v>
      </c>
      <c r="AU4" s="116" t="s">
        <v>360</v>
      </c>
      <c r="AV4" s="116" t="s">
        <v>361</v>
      </c>
      <c r="AW4" s="116"/>
      <c r="AX4" s="116"/>
      <c r="AY4" s="115" t="s">
        <v>365</v>
      </c>
      <c r="AZ4" s="116" t="s">
        <v>360</v>
      </c>
      <c r="BA4" s="116" t="s">
        <v>361</v>
      </c>
      <c r="BB4" s="116"/>
      <c r="BC4" s="116"/>
      <c r="BD4" s="115" t="s">
        <v>365</v>
      </c>
      <c r="BE4" s="116" t="s">
        <v>360</v>
      </c>
      <c r="BF4" s="116" t="s">
        <v>361</v>
      </c>
      <c r="BG4" s="116"/>
      <c r="BH4" s="116"/>
      <c r="BI4" s="115" t="s">
        <v>365</v>
      </c>
      <c r="BJ4" s="116" t="s">
        <v>360</v>
      </c>
      <c r="BK4" s="116" t="s">
        <v>361</v>
      </c>
      <c r="BL4" s="116"/>
      <c r="BM4" s="116"/>
      <c r="BN4" s="115" t="s">
        <v>365</v>
      </c>
      <c r="BO4" s="116" t="s">
        <v>360</v>
      </c>
      <c r="BP4" s="116" t="s">
        <v>361</v>
      </c>
      <c r="BQ4" s="116"/>
      <c r="BR4" s="116"/>
      <c r="BS4" s="115" t="s">
        <v>365</v>
      </c>
      <c r="BT4" s="116" t="s">
        <v>360</v>
      </c>
      <c r="BU4" s="116" t="s">
        <v>361</v>
      </c>
      <c r="BV4" s="116"/>
      <c r="BW4" s="116"/>
      <c r="BX4" s="115" t="s">
        <v>365</v>
      </c>
      <c r="BY4" s="116" t="s">
        <v>360</v>
      </c>
      <c r="BZ4" s="116" t="s">
        <v>361</v>
      </c>
      <c r="CA4" s="116"/>
      <c r="CB4" s="116"/>
      <c r="CC4" s="115" t="s">
        <v>365</v>
      </c>
      <c r="CD4" s="116" t="s">
        <v>360</v>
      </c>
      <c r="CE4" s="116" t="s">
        <v>361</v>
      </c>
      <c r="CF4" s="116"/>
      <c r="CG4" s="116"/>
      <c r="CH4" s="115" t="s">
        <v>365</v>
      </c>
      <c r="CI4" s="116" t="s">
        <v>360</v>
      </c>
      <c r="CJ4" s="116" t="s">
        <v>361</v>
      </c>
      <c r="CK4" s="116"/>
      <c r="CL4" s="116"/>
      <c r="CM4" s="115" t="s">
        <v>365</v>
      </c>
      <c r="CN4" s="116" t="s">
        <v>360</v>
      </c>
      <c r="CO4" s="116" t="s">
        <v>361</v>
      </c>
      <c r="CP4" s="116"/>
      <c r="CQ4" s="116"/>
      <c r="CR4" s="115" t="s">
        <v>365</v>
      </c>
      <c r="CS4" s="116" t="s">
        <v>360</v>
      </c>
      <c r="CT4" s="116" t="s">
        <v>361</v>
      </c>
      <c r="CU4" s="116"/>
      <c r="CV4" s="116"/>
      <c r="CW4" s="119" t="s">
        <v>365</v>
      </c>
      <c r="CX4" s="116" t="s">
        <v>360</v>
      </c>
      <c r="CY4" s="116" t="s">
        <v>361</v>
      </c>
      <c r="CZ4" s="116"/>
      <c r="DA4" s="116"/>
      <c r="DB4" s="119" t="s">
        <v>365</v>
      </c>
      <c r="DC4" s="116" t="s">
        <v>360</v>
      </c>
      <c r="DD4" s="116" t="s">
        <v>361</v>
      </c>
      <c r="DE4" s="116"/>
      <c r="DF4" s="116"/>
      <c r="DG4" s="119" t="s">
        <v>365</v>
      </c>
      <c r="DH4" s="116" t="s">
        <v>360</v>
      </c>
      <c r="DI4" s="116" t="s">
        <v>361</v>
      </c>
      <c r="DJ4" s="116"/>
      <c r="DK4" s="116"/>
      <c r="DL4" s="119" t="s">
        <v>365</v>
      </c>
      <c r="DM4" s="116" t="s">
        <v>360</v>
      </c>
      <c r="DN4" s="116" t="s">
        <v>361</v>
      </c>
      <c r="DO4" s="116"/>
      <c r="DP4" s="116"/>
      <c r="DQ4" s="119" t="s">
        <v>365</v>
      </c>
      <c r="DR4" s="116" t="s">
        <v>360</v>
      </c>
      <c r="DS4" s="116" t="s">
        <v>361</v>
      </c>
      <c r="DT4" s="116"/>
      <c r="DU4" s="116"/>
      <c r="DV4" s="119" t="s">
        <v>365</v>
      </c>
      <c r="DW4" s="116" t="s">
        <v>360</v>
      </c>
      <c r="DX4" s="116" t="s">
        <v>361</v>
      </c>
      <c r="DY4" s="116"/>
      <c r="DZ4" s="116"/>
      <c r="EA4" s="119" t="s">
        <v>365</v>
      </c>
      <c r="EB4" s="116" t="s">
        <v>360</v>
      </c>
      <c r="EC4" s="116" t="s">
        <v>361</v>
      </c>
      <c r="ED4" s="116"/>
      <c r="EE4" s="116"/>
      <c r="EF4" s="119" t="s">
        <v>365</v>
      </c>
      <c r="EG4" s="116" t="s">
        <v>360</v>
      </c>
      <c r="EH4" s="116" t="s">
        <v>361</v>
      </c>
      <c r="EI4" s="116"/>
      <c r="EJ4" s="116"/>
      <c r="EK4" s="119" t="s">
        <v>365</v>
      </c>
      <c r="EL4" s="116" t="s">
        <v>360</v>
      </c>
      <c r="EM4" s="116" t="s">
        <v>361</v>
      </c>
      <c r="EN4" s="116"/>
      <c r="EO4" s="116"/>
      <c r="EP4" s="119" t="s">
        <v>365</v>
      </c>
      <c r="EQ4" s="116" t="s">
        <v>360</v>
      </c>
      <c r="ER4" s="116" t="s">
        <v>361</v>
      </c>
      <c r="ES4" s="116"/>
      <c r="ET4" s="116"/>
      <c r="EU4" s="119" t="s">
        <v>365</v>
      </c>
      <c r="EV4" s="116" t="s">
        <v>360</v>
      </c>
      <c r="EW4" s="116" t="s">
        <v>361</v>
      </c>
      <c r="EX4" s="116"/>
      <c r="EY4" s="116"/>
      <c r="EZ4" s="119" t="s">
        <v>365</v>
      </c>
      <c r="FA4" s="116" t="s">
        <v>360</v>
      </c>
      <c r="FB4" s="116" t="s">
        <v>361</v>
      </c>
      <c r="FC4" s="116"/>
      <c r="FD4" s="116"/>
      <c r="FE4" s="119" t="s">
        <v>365</v>
      </c>
      <c r="FF4" s="116" t="s">
        <v>360</v>
      </c>
      <c r="FG4" s="116" t="s">
        <v>361</v>
      </c>
      <c r="FH4" s="116"/>
      <c r="FI4" s="116"/>
      <c r="FJ4" s="119" t="s">
        <v>365</v>
      </c>
    </row>
    <row r="5" spans="1:166" s="91" customFormat="1" ht="90.75" customHeight="1" x14ac:dyDescent="0.25">
      <c r="A5" s="115"/>
      <c r="B5" s="116"/>
      <c r="C5" s="94" t="s">
        <v>362</v>
      </c>
      <c r="D5" s="94" t="s">
        <v>363</v>
      </c>
      <c r="E5" s="94" t="s">
        <v>364</v>
      </c>
      <c r="F5" s="118"/>
      <c r="G5" s="116"/>
      <c r="H5" s="94" t="s">
        <v>362</v>
      </c>
      <c r="I5" s="94" t="s">
        <v>363</v>
      </c>
      <c r="J5" s="94" t="s">
        <v>364</v>
      </c>
      <c r="K5" s="115"/>
      <c r="L5" s="116"/>
      <c r="M5" s="94" t="s">
        <v>362</v>
      </c>
      <c r="N5" s="94" t="s">
        <v>363</v>
      </c>
      <c r="O5" s="94" t="s">
        <v>364</v>
      </c>
      <c r="P5" s="115"/>
      <c r="Q5" s="116"/>
      <c r="R5" s="44" t="s">
        <v>362</v>
      </c>
      <c r="S5" s="44" t="s">
        <v>363</v>
      </c>
      <c r="T5" s="94" t="s">
        <v>364</v>
      </c>
      <c r="U5" s="119"/>
      <c r="V5" s="116"/>
      <c r="W5" s="44" t="s">
        <v>362</v>
      </c>
      <c r="X5" s="44" t="s">
        <v>363</v>
      </c>
      <c r="Y5" s="44" t="s">
        <v>364</v>
      </c>
      <c r="Z5" s="115"/>
      <c r="AA5" s="116"/>
      <c r="AB5" s="44" t="s">
        <v>362</v>
      </c>
      <c r="AC5" s="44" t="s">
        <v>363</v>
      </c>
      <c r="AD5" s="44" t="s">
        <v>364</v>
      </c>
      <c r="AE5" s="115"/>
      <c r="AF5" s="116"/>
      <c r="AG5" s="44" t="s">
        <v>362</v>
      </c>
      <c r="AH5" s="44" t="s">
        <v>363</v>
      </c>
      <c r="AI5" s="44" t="s">
        <v>364</v>
      </c>
      <c r="AJ5" s="115"/>
      <c r="AK5" s="116"/>
      <c r="AL5" s="44" t="s">
        <v>362</v>
      </c>
      <c r="AM5" s="44" t="s">
        <v>363</v>
      </c>
      <c r="AN5" s="44" t="s">
        <v>364</v>
      </c>
      <c r="AO5" s="115"/>
      <c r="AP5" s="116"/>
      <c r="AQ5" s="44" t="s">
        <v>362</v>
      </c>
      <c r="AR5" s="44" t="s">
        <v>363</v>
      </c>
      <c r="AS5" s="44" t="s">
        <v>364</v>
      </c>
      <c r="AT5" s="115"/>
      <c r="AU5" s="116"/>
      <c r="AV5" s="44" t="s">
        <v>362</v>
      </c>
      <c r="AW5" s="44" t="s">
        <v>363</v>
      </c>
      <c r="AX5" s="44" t="s">
        <v>364</v>
      </c>
      <c r="AY5" s="115"/>
      <c r="AZ5" s="116"/>
      <c r="BA5" s="44" t="s">
        <v>362</v>
      </c>
      <c r="BB5" s="44" t="s">
        <v>363</v>
      </c>
      <c r="BC5" s="44" t="s">
        <v>364</v>
      </c>
      <c r="BD5" s="115"/>
      <c r="BE5" s="116"/>
      <c r="BF5" s="44" t="s">
        <v>362</v>
      </c>
      <c r="BG5" s="44" t="s">
        <v>363</v>
      </c>
      <c r="BH5" s="44" t="s">
        <v>364</v>
      </c>
      <c r="BI5" s="115"/>
      <c r="BJ5" s="116"/>
      <c r="BK5" s="44" t="s">
        <v>362</v>
      </c>
      <c r="BL5" s="44" t="s">
        <v>363</v>
      </c>
      <c r="BM5" s="44" t="s">
        <v>364</v>
      </c>
      <c r="BN5" s="115"/>
      <c r="BO5" s="116"/>
      <c r="BP5" s="44" t="s">
        <v>362</v>
      </c>
      <c r="BQ5" s="44" t="s">
        <v>363</v>
      </c>
      <c r="BR5" s="44" t="s">
        <v>364</v>
      </c>
      <c r="BS5" s="115"/>
      <c r="BT5" s="116"/>
      <c r="BU5" s="44" t="s">
        <v>362</v>
      </c>
      <c r="BV5" s="44" t="s">
        <v>363</v>
      </c>
      <c r="BW5" s="44" t="s">
        <v>364</v>
      </c>
      <c r="BX5" s="115"/>
      <c r="BY5" s="116"/>
      <c r="BZ5" s="44" t="s">
        <v>362</v>
      </c>
      <c r="CA5" s="44" t="s">
        <v>363</v>
      </c>
      <c r="CB5" s="44" t="s">
        <v>364</v>
      </c>
      <c r="CC5" s="115"/>
      <c r="CD5" s="116"/>
      <c r="CE5" s="44" t="s">
        <v>362</v>
      </c>
      <c r="CF5" s="44" t="s">
        <v>363</v>
      </c>
      <c r="CG5" s="44" t="s">
        <v>364</v>
      </c>
      <c r="CH5" s="115"/>
      <c r="CI5" s="116"/>
      <c r="CJ5" s="44" t="s">
        <v>362</v>
      </c>
      <c r="CK5" s="44" t="s">
        <v>363</v>
      </c>
      <c r="CL5" s="44" t="s">
        <v>364</v>
      </c>
      <c r="CM5" s="115"/>
      <c r="CN5" s="116"/>
      <c r="CO5" s="44" t="s">
        <v>362</v>
      </c>
      <c r="CP5" s="44" t="s">
        <v>363</v>
      </c>
      <c r="CQ5" s="44" t="s">
        <v>364</v>
      </c>
      <c r="CR5" s="115"/>
      <c r="CS5" s="116"/>
      <c r="CT5" s="44" t="s">
        <v>362</v>
      </c>
      <c r="CU5" s="44" t="s">
        <v>363</v>
      </c>
      <c r="CV5" s="44" t="s">
        <v>364</v>
      </c>
      <c r="CW5" s="119"/>
      <c r="CX5" s="116"/>
      <c r="CY5" s="44" t="s">
        <v>362</v>
      </c>
      <c r="CZ5" s="44" t="s">
        <v>363</v>
      </c>
      <c r="DA5" s="44" t="s">
        <v>364</v>
      </c>
      <c r="DB5" s="119"/>
      <c r="DC5" s="116"/>
      <c r="DD5" s="44" t="s">
        <v>362</v>
      </c>
      <c r="DE5" s="44" t="s">
        <v>363</v>
      </c>
      <c r="DF5" s="44" t="s">
        <v>364</v>
      </c>
      <c r="DG5" s="119"/>
      <c r="DH5" s="116"/>
      <c r="DI5" s="44" t="s">
        <v>362</v>
      </c>
      <c r="DJ5" s="44" t="s">
        <v>363</v>
      </c>
      <c r="DK5" s="44" t="s">
        <v>364</v>
      </c>
      <c r="DL5" s="119"/>
      <c r="DM5" s="116"/>
      <c r="DN5" s="44" t="s">
        <v>362</v>
      </c>
      <c r="DO5" s="44" t="s">
        <v>363</v>
      </c>
      <c r="DP5" s="44" t="s">
        <v>364</v>
      </c>
      <c r="DQ5" s="119"/>
      <c r="DR5" s="116"/>
      <c r="DS5" s="44" t="s">
        <v>362</v>
      </c>
      <c r="DT5" s="44" t="s">
        <v>363</v>
      </c>
      <c r="DU5" s="44" t="s">
        <v>364</v>
      </c>
      <c r="DV5" s="119"/>
      <c r="DW5" s="116"/>
      <c r="DX5" s="44" t="s">
        <v>362</v>
      </c>
      <c r="DY5" s="44" t="s">
        <v>363</v>
      </c>
      <c r="DZ5" s="44" t="s">
        <v>364</v>
      </c>
      <c r="EA5" s="119"/>
      <c r="EB5" s="116"/>
      <c r="EC5" s="44" t="s">
        <v>362</v>
      </c>
      <c r="ED5" s="44" t="s">
        <v>363</v>
      </c>
      <c r="EE5" s="44" t="s">
        <v>364</v>
      </c>
      <c r="EF5" s="119"/>
      <c r="EG5" s="116"/>
      <c r="EH5" s="44" t="s">
        <v>362</v>
      </c>
      <c r="EI5" s="44" t="s">
        <v>363</v>
      </c>
      <c r="EJ5" s="44" t="s">
        <v>364</v>
      </c>
      <c r="EK5" s="119"/>
      <c r="EL5" s="116"/>
      <c r="EM5" s="44" t="s">
        <v>362</v>
      </c>
      <c r="EN5" s="44" t="s">
        <v>363</v>
      </c>
      <c r="EO5" s="44" t="s">
        <v>364</v>
      </c>
      <c r="EP5" s="119"/>
      <c r="EQ5" s="116"/>
      <c r="ER5" s="44" t="s">
        <v>362</v>
      </c>
      <c r="ES5" s="44" t="s">
        <v>363</v>
      </c>
      <c r="ET5" s="44" t="s">
        <v>364</v>
      </c>
      <c r="EU5" s="119"/>
      <c r="EV5" s="116"/>
      <c r="EW5" s="44" t="s">
        <v>362</v>
      </c>
      <c r="EX5" s="44" t="s">
        <v>363</v>
      </c>
      <c r="EY5" s="44" t="s">
        <v>364</v>
      </c>
      <c r="EZ5" s="119"/>
      <c r="FA5" s="116"/>
      <c r="FB5" s="44" t="s">
        <v>362</v>
      </c>
      <c r="FC5" s="44" t="s">
        <v>363</v>
      </c>
      <c r="FD5" s="44" t="s">
        <v>364</v>
      </c>
      <c r="FE5" s="119"/>
      <c r="FF5" s="116"/>
      <c r="FG5" s="44" t="s">
        <v>362</v>
      </c>
      <c r="FH5" s="44" t="s">
        <v>363</v>
      </c>
      <c r="FI5" s="44" t="s">
        <v>364</v>
      </c>
      <c r="FJ5" s="119"/>
    </row>
    <row r="6" spans="1:166" x14ac:dyDescent="0.25">
      <c r="A6" s="59" t="s">
        <v>354</v>
      </c>
      <c r="B6" s="103"/>
      <c r="C6" s="59"/>
      <c r="D6" s="59"/>
      <c r="E6" s="59"/>
      <c r="F6" s="60"/>
      <c r="G6" s="103"/>
      <c r="H6" s="59"/>
      <c r="I6" s="59"/>
      <c r="J6" s="59"/>
      <c r="K6" s="59"/>
      <c r="L6" s="103"/>
      <c r="M6" s="59"/>
      <c r="N6" s="59"/>
      <c r="O6" s="59"/>
      <c r="P6" s="95"/>
      <c r="Q6" s="103"/>
      <c r="R6" s="21"/>
      <c r="S6" s="21"/>
      <c r="T6" s="59"/>
      <c r="U6" s="95"/>
      <c r="V6" s="103"/>
      <c r="W6" s="21"/>
      <c r="X6" s="21"/>
      <c r="Y6" s="21"/>
      <c r="Z6" s="95"/>
      <c r="AA6" s="103"/>
      <c r="AB6" s="21"/>
      <c r="AC6" s="21"/>
      <c r="AD6" s="21"/>
      <c r="AE6" s="95">
        <v>0</v>
      </c>
      <c r="AF6" s="59"/>
      <c r="AG6" s="59"/>
      <c r="AH6" s="59"/>
      <c r="AI6" s="59"/>
      <c r="AJ6" s="59"/>
      <c r="AK6" s="103">
        <v>1</v>
      </c>
      <c r="AL6" s="59">
        <v>552.48</v>
      </c>
      <c r="AM6" s="59">
        <v>3.01</v>
      </c>
      <c r="AN6" s="59" t="s">
        <v>366</v>
      </c>
      <c r="AO6" s="95">
        <v>0.98770000000000002</v>
      </c>
      <c r="AP6" s="103"/>
      <c r="AQ6" s="59"/>
      <c r="AR6" s="59"/>
      <c r="AS6" s="59"/>
      <c r="AT6" s="96"/>
      <c r="AU6" s="21"/>
      <c r="AV6" s="59"/>
      <c r="AW6" s="59"/>
      <c r="AX6" s="59"/>
      <c r="AY6" s="59"/>
      <c r="AZ6" s="103"/>
      <c r="BA6" s="59"/>
      <c r="BB6" s="59"/>
      <c r="BC6" s="59"/>
      <c r="BD6" s="59"/>
      <c r="BE6" s="103">
        <v>0</v>
      </c>
      <c r="BF6" s="59"/>
      <c r="BG6" s="59"/>
      <c r="BH6" s="59"/>
      <c r="BI6" s="59"/>
      <c r="BJ6" s="103"/>
      <c r="BK6" s="21"/>
      <c r="BL6" s="21"/>
      <c r="BM6" s="21"/>
      <c r="BN6" s="59"/>
      <c r="BO6" s="106"/>
      <c r="BP6" s="59"/>
      <c r="BQ6" s="59"/>
      <c r="BR6" s="59"/>
      <c r="BS6" s="59"/>
      <c r="BT6" s="103"/>
      <c r="BU6" s="21"/>
      <c r="BV6" s="21"/>
      <c r="BW6" s="21"/>
      <c r="BX6" s="59"/>
      <c r="BY6" s="103"/>
      <c r="BZ6" s="21"/>
      <c r="CA6" s="21"/>
      <c r="CB6" s="21"/>
      <c r="CC6" s="59"/>
      <c r="CD6" s="103"/>
      <c r="CE6" s="21"/>
      <c r="CF6" s="21"/>
      <c r="CG6" s="21"/>
      <c r="CH6" s="59"/>
      <c r="CI6" s="103"/>
      <c r="CJ6" s="21"/>
      <c r="CK6" s="21"/>
      <c r="CL6" s="21"/>
      <c r="CM6" s="59"/>
      <c r="CN6" s="103"/>
      <c r="CO6" s="21"/>
      <c r="CP6" s="21"/>
      <c r="CQ6" s="21"/>
      <c r="CR6" s="59"/>
      <c r="CS6" s="103"/>
      <c r="CT6" s="21"/>
      <c r="CU6" s="21"/>
      <c r="CV6" s="21"/>
      <c r="CW6" s="95"/>
      <c r="CX6" s="59"/>
      <c r="CY6" s="59"/>
      <c r="CZ6" s="59"/>
      <c r="DA6" s="59"/>
      <c r="DB6" s="59"/>
      <c r="DC6" s="103">
        <v>8</v>
      </c>
      <c r="DD6" s="59">
        <v>958.99</v>
      </c>
      <c r="DE6" s="59">
        <v>100.87</v>
      </c>
      <c r="DF6" s="59">
        <v>566.97</v>
      </c>
      <c r="DG6" s="57">
        <v>1.2200000000000001E-2</v>
      </c>
      <c r="DH6" s="59"/>
      <c r="DI6" s="21"/>
      <c r="DJ6" s="21"/>
      <c r="DK6" s="21"/>
      <c r="DL6" s="59"/>
      <c r="DM6" s="103"/>
      <c r="DN6" s="59"/>
      <c r="DO6" s="59"/>
      <c r="DP6" s="59"/>
      <c r="DQ6" s="59"/>
      <c r="DR6" s="106"/>
      <c r="DS6" s="59"/>
      <c r="DT6" s="59"/>
      <c r="DU6" s="59"/>
      <c r="DV6" s="59"/>
      <c r="DW6" s="106"/>
      <c r="DX6" s="59"/>
      <c r="DY6" s="59"/>
      <c r="DZ6" s="59"/>
      <c r="EA6" s="59"/>
      <c r="EB6" s="103"/>
      <c r="EC6" s="21"/>
      <c r="ED6" s="21"/>
      <c r="EE6" s="21"/>
      <c r="EF6" s="59"/>
      <c r="EG6" s="103"/>
      <c r="EH6" s="59"/>
      <c r="EI6" s="59"/>
      <c r="EJ6" s="59"/>
      <c r="EK6" s="59"/>
      <c r="EL6" s="103"/>
      <c r="EM6" s="59"/>
      <c r="EN6" s="59"/>
      <c r="EO6" s="59"/>
      <c r="EP6" s="59"/>
      <c r="EQ6" s="103"/>
      <c r="ER6" s="59"/>
      <c r="ES6" s="59"/>
      <c r="ET6" s="59"/>
      <c r="EU6" s="59"/>
      <c r="EV6" s="106"/>
      <c r="EW6" s="59"/>
      <c r="EX6" s="59"/>
      <c r="EY6" s="59"/>
      <c r="EZ6" s="59"/>
      <c r="FA6" s="21"/>
      <c r="FB6" s="21"/>
      <c r="FC6" s="21"/>
      <c r="FD6" s="21"/>
      <c r="FE6" s="59"/>
      <c r="FF6" s="103"/>
      <c r="FG6" s="21"/>
      <c r="FH6" s="21"/>
      <c r="FI6" s="21"/>
      <c r="FJ6" s="59"/>
    </row>
    <row r="7" spans="1:166" x14ac:dyDescent="0.25">
      <c r="A7" s="59" t="s">
        <v>355</v>
      </c>
      <c r="B7" s="103">
        <v>2</v>
      </c>
      <c r="C7" s="59">
        <v>2333.15</v>
      </c>
      <c r="D7" s="59">
        <v>43.77</v>
      </c>
      <c r="E7" s="59"/>
      <c r="F7" s="95">
        <v>0.85499999999999998</v>
      </c>
      <c r="G7" s="103">
        <v>2</v>
      </c>
      <c r="H7" s="59">
        <v>587.28</v>
      </c>
      <c r="I7" s="59">
        <v>5.27</v>
      </c>
      <c r="J7" s="59"/>
      <c r="K7" s="95">
        <v>0.92249999999999999</v>
      </c>
      <c r="L7" s="103">
        <v>7</v>
      </c>
      <c r="M7" s="59">
        <v>89321.54</v>
      </c>
      <c r="N7" s="59">
        <v>4101.91</v>
      </c>
      <c r="O7" s="59"/>
      <c r="P7" s="95">
        <v>0.2031</v>
      </c>
      <c r="Q7" s="103"/>
      <c r="R7" s="21"/>
      <c r="S7" s="21"/>
      <c r="T7" s="59"/>
      <c r="U7" s="95"/>
      <c r="V7" s="103">
        <v>40</v>
      </c>
      <c r="W7" s="21">
        <v>10655</v>
      </c>
      <c r="X7" s="21">
        <v>1125</v>
      </c>
      <c r="Y7" s="21">
        <v>2596</v>
      </c>
      <c r="Z7" s="95">
        <v>0.25890000000000002</v>
      </c>
      <c r="AA7" s="103">
        <v>1</v>
      </c>
      <c r="AB7" s="21">
        <v>3752555</v>
      </c>
      <c r="AC7" s="21"/>
      <c r="AD7" s="21"/>
      <c r="AE7" s="95">
        <v>6.9999999999999999E-4</v>
      </c>
      <c r="AF7" s="59"/>
      <c r="AG7" s="59">
        <v>1030.77</v>
      </c>
      <c r="AH7" s="59">
        <v>126.39</v>
      </c>
      <c r="AI7" s="59">
        <v>4689.4799999999996</v>
      </c>
      <c r="AJ7" s="95">
        <v>0.18909999999999999</v>
      </c>
      <c r="AK7" s="103"/>
      <c r="AL7" s="59"/>
      <c r="AM7" s="59"/>
      <c r="AN7" s="59"/>
      <c r="AO7" s="95"/>
      <c r="AP7" s="103"/>
      <c r="AQ7" s="59"/>
      <c r="AR7" s="59"/>
      <c r="AS7" s="59"/>
      <c r="AT7" s="96"/>
      <c r="AU7" s="21">
        <v>3</v>
      </c>
      <c r="AV7" s="59">
        <v>926.39</v>
      </c>
      <c r="AW7" s="59"/>
      <c r="AX7" s="59"/>
      <c r="AY7" s="95">
        <v>0.57740000000000002</v>
      </c>
      <c r="AZ7" s="103"/>
      <c r="BA7" s="59"/>
      <c r="BB7" s="59"/>
      <c r="BC7" s="59"/>
      <c r="BD7" s="59"/>
      <c r="BE7" s="103">
        <v>3</v>
      </c>
      <c r="BF7" s="59">
        <v>1342.8924139999999</v>
      </c>
      <c r="BG7" s="59">
        <v>49.461576299999997</v>
      </c>
      <c r="BH7" s="59">
        <v>47.944547999999998</v>
      </c>
      <c r="BI7" s="95">
        <v>2.4391711E-2</v>
      </c>
      <c r="BJ7" s="103">
        <v>3</v>
      </c>
      <c r="BK7" s="21"/>
      <c r="BL7" s="21"/>
      <c r="BM7" s="21">
        <v>15</v>
      </c>
      <c r="BN7" s="95">
        <v>1.2999999999999999E-3</v>
      </c>
      <c r="BO7" s="103">
        <v>25</v>
      </c>
      <c r="BP7" s="59">
        <v>109401.1</v>
      </c>
      <c r="BQ7" s="59">
        <v>4319.8</v>
      </c>
      <c r="BR7" s="59">
        <v>5997.7</v>
      </c>
      <c r="BS7" s="95">
        <v>0.35049999999999998</v>
      </c>
      <c r="BT7" s="103">
        <v>57</v>
      </c>
      <c r="BU7" s="21">
        <v>62371</v>
      </c>
      <c r="BV7" s="21">
        <v>3219</v>
      </c>
      <c r="BW7" s="21">
        <v>11338</v>
      </c>
      <c r="BX7" s="95">
        <v>0.18390000000000001</v>
      </c>
      <c r="BY7" s="103">
        <v>4</v>
      </c>
      <c r="BZ7" s="21">
        <v>2811</v>
      </c>
      <c r="CA7" s="21">
        <v>34</v>
      </c>
      <c r="CB7" s="21">
        <v>155</v>
      </c>
      <c r="CC7" s="95">
        <v>0.02</v>
      </c>
      <c r="CD7" s="103"/>
      <c r="CE7" s="21"/>
      <c r="CF7" s="21"/>
      <c r="CG7" s="21"/>
      <c r="CH7" s="59"/>
      <c r="CI7" s="103">
        <v>2</v>
      </c>
      <c r="CJ7" s="21">
        <v>32</v>
      </c>
      <c r="CK7" s="21">
        <v>62</v>
      </c>
      <c r="CL7" s="21"/>
      <c r="CM7" s="57">
        <v>8.0999999999999996E-3</v>
      </c>
      <c r="CN7" s="103">
        <v>6</v>
      </c>
      <c r="CO7" s="21">
        <v>6823</v>
      </c>
      <c r="CP7" s="21">
        <v>15105</v>
      </c>
      <c r="CQ7" s="21">
        <v>24</v>
      </c>
      <c r="CR7" s="95">
        <v>0.58609999999999995</v>
      </c>
      <c r="CS7" s="103"/>
      <c r="CT7" s="21"/>
      <c r="CU7" s="21"/>
      <c r="CV7" s="21"/>
      <c r="CW7" s="95"/>
      <c r="CX7" s="59"/>
      <c r="CY7" s="59"/>
      <c r="CZ7" s="59"/>
      <c r="DA7" s="59"/>
      <c r="DB7" s="59"/>
      <c r="DC7" s="103">
        <v>34</v>
      </c>
      <c r="DD7" s="59">
        <v>4087.5</v>
      </c>
      <c r="DE7" s="59">
        <v>851.37</v>
      </c>
      <c r="DF7" s="59">
        <v>1034.6500000000001</v>
      </c>
      <c r="DG7" s="57">
        <v>4.4900000000000002E-2</v>
      </c>
      <c r="DH7" s="59"/>
      <c r="DI7" s="21">
        <v>4739</v>
      </c>
      <c r="DJ7" s="21">
        <v>1846</v>
      </c>
      <c r="DK7" s="21">
        <v>1784</v>
      </c>
      <c r="DL7" s="59">
        <v>7.71</v>
      </c>
      <c r="DM7" s="103">
        <v>3</v>
      </c>
      <c r="DN7" s="59">
        <v>0</v>
      </c>
      <c r="DO7" s="59">
        <v>201.84</v>
      </c>
      <c r="DP7" s="59">
        <v>47.23</v>
      </c>
      <c r="DQ7" s="95">
        <v>2.8799999999999999E-2</v>
      </c>
      <c r="DR7" s="103">
        <v>21</v>
      </c>
      <c r="DS7" s="59">
        <v>110.47</v>
      </c>
      <c r="DT7" s="59">
        <v>93.44</v>
      </c>
      <c r="DU7" s="59">
        <v>174.1</v>
      </c>
      <c r="DV7" s="57">
        <v>7.4000000000000003E-3</v>
      </c>
      <c r="DW7" s="106"/>
      <c r="DX7" s="59"/>
      <c r="DY7" s="59"/>
      <c r="DZ7" s="59"/>
      <c r="EA7" s="59"/>
      <c r="EB7" s="103">
        <v>1</v>
      </c>
      <c r="EC7" s="21"/>
      <c r="ED7" s="21"/>
      <c r="EE7" s="21"/>
      <c r="EF7" s="59"/>
      <c r="EG7" s="103">
        <v>3</v>
      </c>
      <c r="EH7" s="59">
        <v>3318.08</v>
      </c>
      <c r="EI7" s="59"/>
      <c r="EJ7" s="59"/>
      <c r="EK7" s="95">
        <v>2.1499999999999998E-2</v>
      </c>
      <c r="EL7" s="103">
        <v>1</v>
      </c>
      <c r="EM7" s="59">
        <v>2.08</v>
      </c>
      <c r="EN7" s="59"/>
      <c r="EO7" s="59"/>
      <c r="EP7" s="95">
        <v>4.0000000000000002E-4</v>
      </c>
      <c r="EQ7" s="103">
        <v>1</v>
      </c>
      <c r="ER7" s="59">
        <v>13136.31</v>
      </c>
      <c r="ES7" s="59">
        <v>39.020000000000003</v>
      </c>
      <c r="ET7" s="59">
        <v>0.27</v>
      </c>
      <c r="EU7" s="95">
        <v>0.15970000000000001</v>
      </c>
      <c r="EV7" s="103">
        <v>51</v>
      </c>
      <c r="EW7" s="21">
        <v>43590</v>
      </c>
      <c r="EX7" s="21">
        <v>6139</v>
      </c>
      <c r="EY7" s="21">
        <v>3498</v>
      </c>
      <c r="EZ7" s="57">
        <v>0.25</v>
      </c>
      <c r="FA7" s="21">
        <v>3</v>
      </c>
      <c r="FB7" s="21">
        <v>35</v>
      </c>
      <c r="FC7" s="21">
        <v>2552</v>
      </c>
      <c r="FD7" s="21">
        <v>3146</v>
      </c>
      <c r="FE7" s="59">
        <v>2.87</v>
      </c>
      <c r="FF7" s="103">
        <v>10</v>
      </c>
      <c r="FG7" s="21">
        <v>7471</v>
      </c>
      <c r="FH7" s="21">
        <v>1578</v>
      </c>
      <c r="FI7" s="21">
        <v>3717</v>
      </c>
      <c r="FJ7" s="95">
        <v>0.1196</v>
      </c>
    </row>
    <row r="8" spans="1:166" ht="15" customHeight="1" x14ac:dyDescent="0.25">
      <c r="A8" s="59" t="s">
        <v>356</v>
      </c>
      <c r="B8" s="103">
        <v>2</v>
      </c>
      <c r="C8" s="59">
        <v>398.31</v>
      </c>
      <c r="D8" s="59">
        <v>4.8600000000000003</v>
      </c>
      <c r="E8" s="59"/>
      <c r="F8" s="95">
        <v>0.14499999999999999</v>
      </c>
      <c r="G8" s="103">
        <v>5</v>
      </c>
      <c r="H8" s="59"/>
      <c r="I8" s="59">
        <v>49.75</v>
      </c>
      <c r="J8" s="59"/>
      <c r="K8" s="95">
        <v>7.7499999999999999E-2</v>
      </c>
      <c r="L8" s="103">
        <v>40</v>
      </c>
      <c r="M8" s="59">
        <v>355647.48</v>
      </c>
      <c r="N8" s="59">
        <v>10738.56</v>
      </c>
      <c r="O8" s="59"/>
      <c r="P8" s="95">
        <v>0.7964</v>
      </c>
      <c r="Q8" s="103">
        <v>3</v>
      </c>
      <c r="R8" s="21">
        <v>21234</v>
      </c>
      <c r="S8" s="21">
        <v>49</v>
      </c>
      <c r="T8" s="59"/>
      <c r="U8" s="95">
        <v>0.75</v>
      </c>
      <c r="V8" s="103">
        <v>230</v>
      </c>
      <c r="W8" s="21">
        <v>27519</v>
      </c>
      <c r="X8" s="21">
        <v>1968</v>
      </c>
      <c r="Y8" s="21">
        <v>11666</v>
      </c>
      <c r="Z8" s="95">
        <v>0.74109999999999998</v>
      </c>
      <c r="AA8" s="103">
        <v>40</v>
      </c>
      <c r="AB8" s="21">
        <v>1926090044</v>
      </c>
      <c r="AC8" s="21">
        <v>231101049</v>
      </c>
      <c r="AD8" s="21">
        <v>199949302</v>
      </c>
      <c r="AE8" s="95">
        <v>0.41880000000000001</v>
      </c>
      <c r="AF8" s="59"/>
      <c r="AG8" s="59">
        <v>23615.09</v>
      </c>
      <c r="AH8" s="59">
        <v>1452.66</v>
      </c>
      <c r="AI8" s="59"/>
      <c r="AJ8" s="95">
        <v>0.81079999999999997</v>
      </c>
      <c r="AK8" s="103">
        <v>2</v>
      </c>
      <c r="AL8" s="59">
        <v>7.13</v>
      </c>
      <c r="AM8" s="59">
        <v>0.75</v>
      </c>
      <c r="AN8" s="59">
        <v>-0.96</v>
      </c>
      <c r="AO8" s="95">
        <v>1.23E-2</v>
      </c>
      <c r="AP8" s="103">
        <v>3</v>
      </c>
      <c r="AQ8" s="59">
        <v>3222.98</v>
      </c>
      <c r="AR8" s="59">
        <v>122.95</v>
      </c>
      <c r="AS8" s="59"/>
      <c r="AT8" s="95">
        <v>0.48730000000000001</v>
      </c>
      <c r="AU8" s="21">
        <v>10</v>
      </c>
      <c r="AV8" s="59">
        <v>505.12</v>
      </c>
      <c r="AW8" s="59">
        <v>97.83</v>
      </c>
      <c r="AX8" s="59">
        <v>8.75</v>
      </c>
      <c r="AY8" s="95">
        <v>0.38119999999999998</v>
      </c>
      <c r="AZ8" s="103">
        <v>6</v>
      </c>
      <c r="BA8" s="59">
        <v>11896.45</v>
      </c>
      <c r="BB8" s="59">
        <v>3265.09</v>
      </c>
      <c r="BC8" s="59"/>
      <c r="BD8" s="95">
        <v>0.53939999999999999</v>
      </c>
      <c r="BE8" s="103">
        <v>46</v>
      </c>
      <c r="BF8" s="59">
        <v>10114.099539999999</v>
      </c>
      <c r="BG8" s="59">
        <v>2110.7327270000001</v>
      </c>
      <c r="BH8" s="59">
        <v>4868.0673409999999</v>
      </c>
      <c r="BI8" s="95">
        <v>0.28947127900000003</v>
      </c>
      <c r="BJ8" s="103">
        <v>38</v>
      </c>
      <c r="BK8" s="21">
        <v>10834</v>
      </c>
      <c r="BL8" s="21">
        <v>222</v>
      </c>
      <c r="BM8" s="21">
        <v>825</v>
      </c>
      <c r="BN8" s="95">
        <v>0.99870000000000003</v>
      </c>
      <c r="BO8" s="103">
        <v>167</v>
      </c>
      <c r="BP8" s="59">
        <v>187270.7</v>
      </c>
      <c r="BQ8" s="59">
        <v>6153.5</v>
      </c>
      <c r="BR8" s="59">
        <v>22188.5</v>
      </c>
      <c r="BS8" s="95">
        <v>0.63119999999999998</v>
      </c>
      <c r="BT8" s="103">
        <v>183</v>
      </c>
      <c r="BU8" s="21">
        <v>263783</v>
      </c>
      <c r="BV8" s="21">
        <v>17096</v>
      </c>
      <c r="BW8" s="21">
        <v>35920</v>
      </c>
      <c r="BX8" s="95">
        <v>0.75719999999999998</v>
      </c>
      <c r="BY8" s="103">
        <v>131</v>
      </c>
      <c r="BZ8" s="21">
        <v>152180</v>
      </c>
      <c r="CA8" s="21">
        <v>11570</v>
      </c>
      <c r="CB8" s="21">
        <v>11098</v>
      </c>
      <c r="CC8" s="95">
        <v>1</v>
      </c>
      <c r="CD8" s="103">
        <v>4</v>
      </c>
      <c r="CE8" s="21">
        <v>150</v>
      </c>
      <c r="CF8" s="21">
        <v>117</v>
      </c>
      <c r="CG8" s="21"/>
      <c r="CH8" s="95">
        <v>0.113</v>
      </c>
      <c r="CI8" s="103">
        <v>18</v>
      </c>
      <c r="CJ8" s="21">
        <v>8994</v>
      </c>
      <c r="CK8" s="21">
        <v>2134</v>
      </c>
      <c r="CL8" s="21">
        <v>373</v>
      </c>
      <c r="CM8" s="57">
        <v>0.99180000000000001</v>
      </c>
      <c r="CN8" s="103">
        <v>27</v>
      </c>
      <c r="CO8" s="21">
        <v>13818</v>
      </c>
      <c r="CP8" s="21">
        <v>401</v>
      </c>
      <c r="CQ8" s="21">
        <v>1065</v>
      </c>
      <c r="CR8" s="95">
        <v>0.40810000000000002</v>
      </c>
      <c r="CS8" s="103">
        <v>3</v>
      </c>
      <c r="CT8" s="21">
        <v>15161</v>
      </c>
      <c r="CU8" s="21">
        <v>47</v>
      </c>
      <c r="CV8" s="21"/>
      <c r="CW8" s="95">
        <v>1</v>
      </c>
      <c r="CX8" s="59"/>
      <c r="CY8" s="59"/>
      <c r="CZ8" s="59"/>
      <c r="DA8" s="59"/>
      <c r="DB8" s="59"/>
      <c r="DC8" s="103">
        <v>165</v>
      </c>
      <c r="DD8" s="59">
        <v>19651.509999999998</v>
      </c>
      <c r="DE8" s="59">
        <v>2087.6799999999998</v>
      </c>
      <c r="DF8" s="59">
        <v>15414.92</v>
      </c>
      <c r="DG8" s="57">
        <v>0.27929999999999999</v>
      </c>
      <c r="DH8" s="59"/>
      <c r="DI8" s="21">
        <v>1284</v>
      </c>
      <c r="DJ8" s="21">
        <v>4736</v>
      </c>
      <c r="DK8" s="21">
        <v>3608</v>
      </c>
      <c r="DL8" s="59">
        <v>8.86</v>
      </c>
      <c r="DM8" s="103">
        <v>5</v>
      </c>
      <c r="DN8" s="59">
        <v>527.71</v>
      </c>
      <c r="DO8" s="59">
        <v>599.48</v>
      </c>
      <c r="DP8" s="59">
        <v>262.14</v>
      </c>
      <c r="DQ8" s="95">
        <v>0.84799999999999998</v>
      </c>
      <c r="DR8" s="103">
        <v>105</v>
      </c>
      <c r="DS8" s="59">
        <v>37019.050000000003</v>
      </c>
      <c r="DT8" s="59">
        <v>2455.44</v>
      </c>
      <c r="DU8" s="59">
        <v>1798.18</v>
      </c>
      <c r="DV8" s="57">
        <v>0.81269999999999998</v>
      </c>
      <c r="DW8" s="106"/>
      <c r="DX8" s="59"/>
      <c r="DY8" s="59"/>
      <c r="DZ8" s="59"/>
      <c r="EA8" s="59"/>
      <c r="EB8" s="103">
        <v>34</v>
      </c>
      <c r="EC8" s="21">
        <v>4658</v>
      </c>
      <c r="ED8" s="21">
        <v>861</v>
      </c>
      <c r="EE8" s="21">
        <v>20</v>
      </c>
      <c r="EF8" s="95">
        <v>0.2717</v>
      </c>
      <c r="EG8" s="103">
        <v>95</v>
      </c>
      <c r="EH8" s="59">
        <v>36041.910000000003</v>
      </c>
      <c r="EI8" s="59">
        <v>3766.69</v>
      </c>
      <c r="EJ8" s="59">
        <v>482.87</v>
      </c>
      <c r="EK8" s="95">
        <v>0.2611</v>
      </c>
      <c r="EL8" s="103">
        <v>4</v>
      </c>
      <c r="EM8" s="59">
        <v>86.46</v>
      </c>
      <c r="EN8" s="59">
        <v>42.42</v>
      </c>
      <c r="EO8" s="59">
        <v>765.27</v>
      </c>
      <c r="EP8" s="95">
        <v>0.18690000000000001</v>
      </c>
      <c r="EQ8" s="103">
        <v>1</v>
      </c>
      <c r="ER8" s="59">
        <v>63675.72</v>
      </c>
      <c r="ES8" s="59">
        <v>273.12</v>
      </c>
      <c r="ET8" s="59">
        <v>7.0000000000000007E-2</v>
      </c>
      <c r="EU8" s="95">
        <v>0.84030000000000005</v>
      </c>
      <c r="EV8" s="103">
        <v>183</v>
      </c>
      <c r="EW8" s="21">
        <v>131972</v>
      </c>
      <c r="EX8" s="21">
        <v>7599</v>
      </c>
      <c r="EY8" s="21">
        <v>15266</v>
      </c>
      <c r="EZ8" s="57">
        <v>0.73</v>
      </c>
      <c r="FA8" s="21">
        <v>236</v>
      </c>
      <c r="FB8" s="21">
        <v>51468</v>
      </c>
      <c r="FC8" s="21">
        <v>24140</v>
      </c>
      <c r="FD8" s="21">
        <v>73533</v>
      </c>
      <c r="FE8" s="59">
        <v>74.680000000000007</v>
      </c>
      <c r="FF8" s="103">
        <v>22</v>
      </c>
      <c r="FG8" s="21">
        <v>74841</v>
      </c>
      <c r="FH8" s="21">
        <v>6503</v>
      </c>
      <c r="FI8" s="21">
        <v>349</v>
      </c>
      <c r="FJ8" s="95">
        <v>0.7651</v>
      </c>
    </row>
    <row r="9" spans="1:166" x14ac:dyDescent="0.25">
      <c r="A9" s="59" t="s">
        <v>357</v>
      </c>
      <c r="B9" s="103"/>
      <c r="C9" s="59"/>
      <c r="D9" s="59"/>
      <c r="E9" s="59"/>
      <c r="F9" s="95"/>
      <c r="G9" s="103"/>
      <c r="H9" s="59"/>
      <c r="I9" s="59"/>
      <c r="J9" s="59"/>
      <c r="K9" s="95"/>
      <c r="L9" s="103"/>
      <c r="M9" s="59"/>
      <c r="N9" s="59"/>
      <c r="O9" s="59"/>
      <c r="P9" s="95"/>
      <c r="Q9" s="103">
        <v>1</v>
      </c>
      <c r="R9" s="21">
        <v>7002</v>
      </c>
      <c r="S9" s="21">
        <v>219</v>
      </c>
      <c r="T9" s="59"/>
      <c r="U9" s="95">
        <v>0.25</v>
      </c>
      <c r="V9" s="103"/>
      <c r="W9" s="21"/>
      <c r="X9" s="21"/>
      <c r="Y9" s="21"/>
      <c r="Z9" s="95"/>
      <c r="AA9" s="103">
        <v>17</v>
      </c>
      <c r="AB9" s="21">
        <v>2982330251</v>
      </c>
      <c r="AC9" s="21">
        <v>176979789</v>
      </c>
      <c r="AD9" s="21">
        <v>95477050</v>
      </c>
      <c r="AE9" s="95">
        <v>0.57830000000000004</v>
      </c>
      <c r="AF9" s="59"/>
      <c r="AG9" s="59"/>
      <c r="AH9" s="59"/>
      <c r="AI9" s="59"/>
      <c r="AJ9" s="95"/>
      <c r="AK9" s="103"/>
      <c r="AL9" s="59"/>
      <c r="AM9" s="59"/>
      <c r="AN9" s="59"/>
      <c r="AO9" s="95"/>
      <c r="AP9" s="103">
        <v>5</v>
      </c>
      <c r="AQ9" s="59">
        <v>3337.54</v>
      </c>
      <c r="AR9" s="59">
        <v>183.05</v>
      </c>
      <c r="AS9" s="59"/>
      <c r="AT9" s="95">
        <v>0.51270000000000004</v>
      </c>
      <c r="AU9" s="21">
        <v>11</v>
      </c>
      <c r="AV9" s="59">
        <v>11.26</v>
      </c>
      <c r="AW9" s="59">
        <v>38.49</v>
      </c>
      <c r="AX9" s="59"/>
      <c r="AY9" s="95">
        <v>3.1E-2</v>
      </c>
      <c r="AZ9" s="103">
        <v>3</v>
      </c>
      <c r="BA9" s="59">
        <v>12598.86</v>
      </c>
      <c r="BB9" s="59">
        <v>344.88</v>
      </c>
      <c r="BC9" s="59"/>
      <c r="BD9" s="95">
        <v>0.46050000000000002</v>
      </c>
      <c r="BE9" s="103">
        <v>9</v>
      </c>
      <c r="BF9" s="59">
        <v>29261.491720000002</v>
      </c>
      <c r="BG9" s="59">
        <v>6846.6108759999997</v>
      </c>
      <c r="BH9" s="59">
        <v>1930.7544700000001</v>
      </c>
      <c r="BI9" s="95">
        <v>0.64419477400000003</v>
      </c>
      <c r="BJ9" s="103"/>
      <c r="BK9" s="21"/>
      <c r="BL9" s="21"/>
      <c r="BM9" s="21"/>
      <c r="BN9" s="95"/>
      <c r="BO9" s="103">
        <v>5</v>
      </c>
      <c r="BP9" s="59">
        <v>38.799999999999997</v>
      </c>
      <c r="BQ9" s="59"/>
      <c r="BR9" s="59"/>
      <c r="BS9" s="95">
        <v>1E-4</v>
      </c>
      <c r="BT9" s="103">
        <v>2</v>
      </c>
      <c r="BU9" s="21">
        <v>30</v>
      </c>
      <c r="BV9" s="21"/>
      <c r="BW9" s="21"/>
      <c r="BX9" s="95">
        <v>1E-4</v>
      </c>
      <c r="BY9" s="103">
        <v>24</v>
      </c>
      <c r="BZ9" s="21">
        <v>11056</v>
      </c>
      <c r="CA9" s="21">
        <v>672</v>
      </c>
      <c r="CB9" s="21">
        <v>24099</v>
      </c>
      <c r="CC9" s="95">
        <v>0.2</v>
      </c>
      <c r="CD9" s="103">
        <v>1</v>
      </c>
      <c r="CE9" s="21">
        <v>1888</v>
      </c>
      <c r="CF9" s="21">
        <v>218</v>
      </c>
      <c r="CG9" s="21">
        <v>1</v>
      </c>
      <c r="CH9" s="95">
        <v>0.88600000000000001</v>
      </c>
      <c r="CI9" s="103"/>
      <c r="CJ9" s="21"/>
      <c r="CK9" s="21"/>
      <c r="CL9" s="21"/>
      <c r="CM9" s="60"/>
      <c r="CN9" s="103">
        <v>2</v>
      </c>
      <c r="CO9" s="21">
        <v>5</v>
      </c>
      <c r="CP9" s="21">
        <v>2</v>
      </c>
      <c r="CQ9" s="21"/>
      <c r="CR9" s="95">
        <v>2.0000000000000001E-4</v>
      </c>
      <c r="CS9" s="103"/>
      <c r="CT9" s="21"/>
      <c r="CU9" s="21"/>
      <c r="CV9" s="21"/>
      <c r="CW9" s="95"/>
      <c r="CX9" s="59"/>
      <c r="CY9" s="59"/>
      <c r="CZ9" s="59"/>
      <c r="DA9" s="59"/>
      <c r="DB9" s="59"/>
      <c r="DC9" s="103">
        <v>75</v>
      </c>
      <c r="DD9" s="59">
        <v>51676.24</v>
      </c>
      <c r="DE9" s="59">
        <v>5062.76</v>
      </c>
      <c r="DF9" s="59">
        <v>31550.400000000001</v>
      </c>
      <c r="DG9" s="57">
        <v>0.66359999999999997</v>
      </c>
      <c r="DH9" s="59"/>
      <c r="DI9" s="21">
        <v>761</v>
      </c>
      <c r="DJ9" s="59">
        <v>354.02</v>
      </c>
      <c r="DK9" s="21">
        <v>1</v>
      </c>
      <c r="DL9" s="59">
        <v>1.03</v>
      </c>
      <c r="DM9" s="103"/>
      <c r="DN9" s="59"/>
      <c r="DO9" s="59"/>
      <c r="DP9" s="59"/>
      <c r="DQ9" s="59"/>
      <c r="DR9" s="103">
        <v>12</v>
      </c>
      <c r="DS9" s="59">
        <v>2581.1799999999998</v>
      </c>
      <c r="DT9" s="59">
        <v>209</v>
      </c>
      <c r="DU9" s="59">
        <v>88.28</v>
      </c>
      <c r="DV9" s="57">
        <v>5.67E-2</v>
      </c>
      <c r="DW9" s="103">
        <v>1</v>
      </c>
      <c r="DX9" s="59">
        <v>26432.3</v>
      </c>
      <c r="DY9" s="21">
        <v>184</v>
      </c>
      <c r="DZ9" s="21">
        <v>15470</v>
      </c>
      <c r="EA9" s="57">
        <v>1</v>
      </c>
      <c r="EB9" s="103">
        <v>15</v>
      </c>
      <c r="EC9" s="21">
        <v>13475</v>
      </c>
      <c r="ED9" s="21">
        <v>944</v>
      </c>
      <c r="EE9" s="21">
        <v>429</v>
      </c>
      <c r="EF9" s="95">
        <v>0.72829999999999995</v>
      </c>
      <c r="EG9" s="103">
        <v>13</v>
      </c>
      <c r="EH9" s="59">
        <v>103930.18</v>
      </c>
      <c r="EI9" s="59">
        <v>5021.3</v>
      </c>
      <c r="EJ9" s="59">
        <v>762.15</v>
      </c>
      <c r="EK9" s="95">
        <v>0.71109999999999995</v>
      </c>
      <c r="EL9" s="103">
        <v>11</v>
      </c>
      <c r="EM9" s="59">
        <v>3379.55</v>
      </c>
      <c r="EN9" s="59">
        <v>433.5</v>
      </c>
      <c r="EO9" s="59">
        <v>28.1</v>
      </c>
      <c r="EP9" s="95">
        <v>0.80310000000000004</v>
      </c>
      <c r="EQ9" s="103"/>
      <c r="ER9" s="59"/>
      <c r="ES9" s="59"/>
      <c r="ET9" s="59"/>
      <c r="EU9" s="59"/>
      <c r="EV9" s="107"/>
      <c r="EW9" s="21"/>
      <c r="EX9" s="21"/>
      <c r="EY9" s="21"/>
      <c r="EZ9" s="57">
        <v>0</v>
      </c>
      <c r="FA9" s="21">
        <v>31</v>
      </c>
      <c r="FB9" s="21">
        <v>1733</v>
      </c>
      <c r="FC9" s="21">
        <v>3740</v>
      </c>
      <c r="FD9" s="21">
        <v>-40</v>
      </c>
      <c r="FE9" s="59">
        <v>2.72</v>
      </c>
      <c r="FF9" s="103">
        <v>6</v>
      </c>
      <c r="FG9" s="21">
        <v>1557</v>
      </c>
      <c r="FH9" s="21">
        <v>610</v>
      </c>
      <c r="FI9" s="21"/>
      <c r="FJ9" s="95">
        <v>2.0299999999999999E-2</v>
      </c>
    </row>
    <row r="10" spans="1:166" x14ac:dyDescent="0.25">
      <c r="A10" s="59" t="s">
        <v>358</v>
      </c>
      <c r="B10" s="103"/>
      <c r="C10" s="59"/>
      <c r="D10" s="59"/>
      <c r="E10" s="59"/>
      <c r="F10" s="95"/>
      <c r="G10" s="103"/>
      <c r="H10" s="59"/>
      <c r="I10" s="59"/>
      <c r="J10" s="59"/>
      <c r="K10" s="95"/>
      <c r="L10" s="103">
        <v>3</v>
      </c>
      <c r="M10" s="59">
        <v>250.21</v>
      </c>
      <c r="N10" s="59"/>
      <c r="O10" s="59"/>
      <c r="P10" s="95">
        <v>5.0000000000000001E-4</v>
      </c>
      <c r="Q10" s="103"/>
      <c r="R10" s="21"/>
      <c r="S10" s="21"/>
      <c r="T10" s="59"/>
      <c r="U10" s="95"/>
      <c r="V10" s="103"/>
      <c r="W10" s="21"/>
      <c r="X10" s="21"/>
      <c r="Y10" s="21"/>
      <c r="Z10" s="95"/>
      <c r="AA10" s="103"/>
      <c r="AB10" s="21"/>
      <c r="AC10" s="21"/>
      <c r="AD10" s="21"/>
      <c r="AE10" s="95">
        <v>0</v>
      </c>
      <c r="AF10" s="59"/>
      <c r="AG10" s="59">
        <v>1.38</v>
      </c>
      <c r="AH10" s="59">
        <v>2.66</v>
      </c>
      <c r="AI10" s="59"/>
      <c r="AJ10" s="95">
        <v>1E-4</v>
      </c>
      <c r="AK10" s="103"/>
      <c r="AL10" s="59"/>
      <c r="AM10" s="59"/>
      <c r="AN10" s="59"/>
      <c r="AO10" s="95"/>
      <c r="AP10" s="103"/>
      <c r="AQ10" s="59"/>
      <c r="AR10" s="59"/>
      <c r="AS10" s="59"/>
      <c r="AT10" s="95"/>
      <c r="AU10" s="21">
        <v>1</v>
      </c>
      <c r="AV10" s="59"/>
      <c r="AW10" s="59"/>
      <c r="AX10" s="59">
        <v>16.68</v>
      </c>
      <c r="AY10" s="95">
        <v>1.04E-2</v>
      </c>
      <c r="AZ10" s="103">
        <v>2</v>
      </c>
      <c r="BA10" s="59">
        <v>0.89</v>
      </c>
      <c r="BB10" s="59">
        <v>0</v>
      </c>
      <c r="BC10" s="59"/>
      <c r="BD10" s="95">
        <v>1E-4</v>
      </c>
      <c r="BE10" s="103"/>
      <c r="BF10" s="59"/>
      <c r="BG10" s="59"/>
      <c r="BH10" s="59"/>
      <c r="BI10" s="95"/>
      <c r="BJ10" s="103"/>
      <c r="BK10" s="21"/>
      <c r="BL10" s="21"/>
      <c r="BM10" s="21"/>
      <c r="BN10" s="95"/>
      <c r="BO10" s="103"/>
      <c r="BP10" s="59"/>
      <c r="BQ10" s="59"/>
      <c r="BR10" s="59"/>
      <c r="BS10" s="95">
        <v>0</v>
      </c>
      <c r="BT10" s="103">
        <v>10</v>
      </c>
      <c r="BU10" s="21">
        <v>98</v>
      </c>
      <c r="BV10" s="21"/>
      <c r="BW10" s="21">
        <v>15</v>
      </c>
      <c r="BX10" s="95">
        <v>2.9999999999999997E-4</v>
      </c>
      <c r="BY10" s="103"/>
      <c r="BZ10" s="21"/>
      <c r="CA10" s="21"/>
      <c r="CB10" s="21"/>
      <c r="CC10" s="59"/>
      <c r="CD10" s="103"/>
      <c r="CE10" s="21"/>
      <c r="CF10" s="21"/>
      <c r="CG10" s="21"/>
      <c r="CH10" s="95"/>
      <c r="CI10" s="103">
        <v>2</v>
      </c>
      <c r="CJ10" s="21">
        <v>1</v>
      </c>
      <c r="CK10" s="21"/>
      <c r="CL10" s="21"/>
      <c r="CM10" s="57">
        <v>1E-4</v>
      </c>
      <c r="CN10" s="103">
        <v>10</v>
      </c>
      <c r="CO10" s="21">
        <v>16</v>
      </c>
      <c r="CP10" s="21">
        <v>4</v>
      </c>
      <c r="CQ10" s="21"/>
      <c r="CR10" s="95">
        <v>5.0000000000000001E-4</v>
      </c>
      <c r="CS10" s="103"/>
      <c r="CT10" s="21"/>
      <c r="CU10" s="21"/>
      <c r="CV10" s="21"/>
      <c r="CW10" s="95"/>
      <c r="CX10" s="59"/>
      <c r="CY10" s="59"/>
      <c r="CZ10" s="59"/>
      <c r="DA10" s="59"/>
      <c r="DB10" s="59"/>
      <c r="DC10" s="103"/>
      <c r="DD10" s="59"/>
      <c r="DE10" s="59"/>
      <c r="DF10" s="59"/>
      <c r="DG10" s="60"/>
      <c r="DH10" s="59"/>
      <c r="DI10" s="21">
        <f>498+1841</f>
        <v>2339</v>
      </c>
      <c r="DJ10" s="21">
        <f>1060+1020</f>
        <v>2080</v>
      </c>
      <c r="DK10" s="21">
        <f>66+552</f>
        <v>618</v>
      </c>
      <c r="DL10" s="59">
        <f>1.5+3.14</f>
        <v>4.6400000000000006</v>
      </c>
      <c r="DM10" s="103"/>
      <c r="DN10" s="59"/>
      <c r="DO10" s="59"/>
      <c r="DP10" s="59"/>
      <c r="DQ10" s="59"/>
      <c r="DR10" s="103">
        <v>2</v>
      </c>
      <c r="DS10" s="59">
        <v>2.96</v>
      </c>
      <c r="DT10" s="59">
        <v>0.1</v>
      </c>
      <c r="DU10" s="59">
        <v>11.32</v>
      </c>
      <c r="DV10" s="57">
        <v>2.9999999999999997E-4</v>
      </c>
      <c r="DW10" s="106"/>
      <c r="DX10" s="59"/>
      <c r="DY10" s="59"/>
      <c r="DZ10" s="59"/>
      <c r="EA10" s="59"/>
      <c r="EB10" s="103"/>
      <c r="EC10" s="21"/>
      <c r="ED10" s="21" t="s">
        <v>370</v>
      </c>
      <c r="EE10" s="21" t="s">
        <v>370</v>
      </c>
      <c r="EF10" s="95"/>
      <c r="EG10" s="103">
        <v>2</v>
      </c>
      <c r="EH10" s="59"/>
      <c r="EI10" s="59"/>
      <c r="EJ10" s="59">
        <v>3.08</v>
      </c>
      <c r="EK10" s="95">
        <v>2.0000000000000002E-5</v>
      </c>
      <c r="EL10" s="103">
        <v>4</v>
      </c>
      <c r="EM10" s="59">
        <v>29.16</v>
      </c>
      <c r="EN10" s="59">
        <v>12.52</v>
      </c>
      <c r="EO10" s="59">
        <v>3.88</v>
      </c>
      <c r="EP10" s="95">
        <v>8.6999999999999994E-3</v>
      </c>
      <c r="EQ10" s="103"/>
      <c r="ER10" s="59"/>
      <c r="ES10" s="59"/>
      <c r="ET10" s="59"/>
      <c r="EU10" s="59"/>
      <c r="EV10" s="107"/>
      <c r="EW10" s="21"/>
      <c r="EX10" s="21"/>
      <c r="EY10" s="21"/>
      <c r="EZ10" s="57">
        <v>0</v>
      </c>
      <c r="FA10" s="21">
        <v>17</v>
      </c>
      <c r="FB10" s="21">
        <v>2229</v>
      </c>
      <c r="FC10" s="21">
        <v>839</v>
      </c>
      <c r="FD10" s="21">
        <v>-412</v>
      </c>
      <c r="FE10" s="59">
        <v>1.33</v>
      </c>
      <c r="FF10" s="103">
        <v>18</v>
      </c>
      <c r="FG10" s="21">
        <v>9118</v>
      </c>
      <c r="FH10" s="21">
        <v>982</v>
      </c>
      <c r="FI10" s="21">
        <v>52</v>
      </c>
      <c r="FJ10" s="95">
        <v>9.5100000000000004E-2</v>
      </c>
    </row>
    <row r="11" spans="1:166" ht="30" x14ac:dyDescent="0.25">
      <c r="A11" s="97" t="s">
        <v>367</v>
      </c>
      <c r="B11" s="103"/>
      <c r="C11" s="59"/>
      <c r="D11" s="59"/>
      <c r="E11" s="59"/>
      <c r="F11" s="95"/>
      <c r="G11" s="103"/>
      <c r="H11" s="59"/>
      <c r="I11" s="59"/>
      <c r="J11" s="59"/>
      <c r="K11" s="95"/>
      <c r="L11" s="103"/>
      <c r="M11" s="59"/>
      <c r="N11" s="59"/>
      <c r="O11" s="59"/>
      <c r="P11" s="95"/>
      <c r="Q11" s="103"/>
      <c r="R11" s="21"/>
      <c r="S11" s="21"/>
      <c r="T11" s="59"/>
      <c r="U11" s="95"/>
      <c r="V11" s="103"/>
      <c r="W11" s="21"/>
      <c r="X11" s="21"/>
      <c r="Y11" s="21"/>
      <c r="Z11" s="59"/>
      <c r="AA11" s="103">
        <v>9</v>
      </c>
      <c r="AB11" s="21"/>
      <c r="AC11" s="21"/>
      <c r="AD11" s="21">
        <v>12256455</v>
      </c>
      <c r="AE11" s="95">
        <v>2.2000000000000001E-3</v>
      </c>
      <c r="AF11" s="59"/>
      <c r="AG11" s="59"/>
      <c r="AH11" s="59"/>
      <c r="AI11" s="59"/>
      <c r="AJ11" s="59"/>
      <c r="AK11" s="103"/>
      <c r="AL11" s="59"/>
      <c r="AM11" s="59"/>
      <c r="AN11" s="59"/>
      <c r="AO11" s="95"/>
      <c r="AP11" s="103"/>
      <c r="AQ11" s="59"/>
      <c r="AR11" s="59"/>
      <c r="AS11" s="59"/>
      <c r="AT11" s="95"/>
      <c r="AU11" s="21"/>
      <c r="AV11" s="59"/>
      <c r="AW11" s="59"/>
      <c r="AX11" s="59"/>
      <c r="AY11" s="59"/>
      <c r="AZ11" s="103"/>
      <c r="BA11" s="59"/>
      <c r="BB11" s="59"/>
      <c r="BC11" s="59"/>
      <c r="BD11" s="59"/>
      <c r="BE11" s="103"/>
      <c r="BF11" s="59"/>
      <c r="BG11" s="59"/>
      <c r="BH11" s="59"/>
      <c r="BI11" s="59"/>
      <c r="BJ11" s="103"/>
      <c r="BK11" s="21"/>
      <c r="BL11" s="21"/>
      <c r="BM11" s="21"/>
      <c r="BN11" s="95"/>
      <c r="BO11" s="106"/>
      <c r="BP11" s="59"/>
      <c r="BQ11" s="59"/>
      <c r="BR11" s="59"/>
      <c r="BS11" s="59"/>
      <c r="BT11" s="106"/>
      <c r="BU11" s="59"/>
      <c r="BV11" s="59"/>
      <c r="BW11" s="59"/>
      <c r="BX11" s="59"/>
      <c r="BY11" s="103"/>
      <c r="BZ11" s="21"/>
      <c r="CA11" s="21"/>
      <c r="CB11" s="21"/>
      <c r="CC11" s="59"/>
      <c r="CD11" s="103"/>
      <c r="CE11" s="21"/>
      <c r="CF11" s="21"/>
      <c r="CG11" s="21"/>
      <c r="CH11" s="59"/>
      <c r="CI11" s="103"/>
      <c r="CJ11" s="21"/>
      <c r="CK11" s="21"/>
      <c r="CL11" s="21"/>
      <c r="CM11" s="60"/>
      <c r="CN11" s="103"/>
      <c r="CO11" s="21"/>
      <c r="CP11" s="21"/>
      <c r="CQ11" s="21"/>
      <c r="CR11" s="59"/>
      <c r="CS11" s="103"/>
      <c r="CT11" s="21"/>
      <c r="CU11" s="21"/>
      <c r="CV11" s="21"/>
      <c r="CW11" s="95"/>
      <c r="CX11" s="59"/>
      <c r="CY11" s="59"/>
      <c r="CZ11" s="59"/>
      <c r="DA11" s="59"/>
      <c r="DB11" s="59"/>
      <c r="DC11" s="103"/>
      <c r="DD11" s="59"/>
      <c r="DE11" s="59"/>
      <c r="DF11" s="59"/>
      <c r="DG11" s="60"/>
      <c r="DH11" s="59"/>
      <c r="DI11" s="21"/>
      <c r="DJ11" s="21"/>
      <c r="DK11" s="21"/>
      <c r="DL11" s="59"/>
      <c r="DM11" s="103"/>
      <c r="DN11" s="59"/>
      <c r="DO11" s="59"/>
      <c r="DP11" s="59"/>
      <c r="DQ11" s="59"/>
      <c r="DR11" s="106"/>
      <c r="DS11" s="59"/>
      <c r="DT11" s="59"/>
      <c r="DU11" s="59"/>
      <c r="DV11" s="59"/>
      <c r="DW11" s="106"/>
      <c r="DX11" s="59"/>
      <c r="DY11" s="59"/>
      <c r="DZ11" s="59"/>
      <c r="EA11" s="59"/>
      <c r="EB11" s="103"/>
      <c r="EC11" s="21"/>
      <c r="ED11" s="21"/>
      <c r="EE11" s="21"/>
      <c r="EF11" s="59"/>
      <c r="EG11" s="103"/>
      <c r="EH11" s="59"/>
      <c r="EI11" s="59"/>
      <c r="EJ11" s="59"/>
      <c r="EK11" s="59"/>
      <c r="EL11" s="103"/>
      <c r="EM11" s="59"/>
      <c r="EN11" s="59"/>
      <c r="EO11" s="59"/>
      <c r="EP11" s="59"/>
      <c r="EQ11" s="103"/>
      <c r="ER11" s="59"/>
      <c r="ES11" s="59"/>
      <c r="ET11" s="59"/>
      <c r="EU11" s="59"/>
      <c r="EV11" s="106"/>
      <c r="EW11" s="21"/>
      <c r="EX11" s="21"/>
      <c r="EY11" s="21"/>
      <c r="EZ11" s="57"/>
      <c r="FA11" s="21"/>
      <c r="FB11" s="21"/>
      <c r="FC11" s="21"/>
      <c r="FD11" s="21"/>
      <c r="FE11" s="59"/>
      <c r="FF11" s="103"/>
      <c r="FG11" s="21"/>
      <c r="FH11" s="21"/>
      <c r="FI11" s="21"/>
      <c r="FJ11" s="59"/>
    </row>
    <row r="12" spans="1:166" x14ac:dyDescent="0.25">
      <c r="A12" s="97" t="s">
        <v>369</v>
      </c>
      <c r="B12" s="103"/>
      <c r="C12" s="59"/>
      <c r="D12" s="59"/>
      <c r="E12" s="59"/>
      <c r="F12" s="95"/>
      <c r="G12" s="103"/>
      <c r="H12" s="59"/>
      <c r="I12" s="59"/>
      <c r="J12" s="59"/>
      <c r="K12" s="95"/>
      <c r="L12" s="103"/>
      <c r="M12" s="59"/>
      <c r="N12" s="59"/>
      <c r="O12" s="59"/>
      <c r="P12" s="95"/>
      <c r="Q12" s="103"/>
      <c r="R12" s="21"/>
      <c r="S12" s="21"/>
      <c r="T12" s="59"/>
      <c r="U12" s="95"/>
      <c r="V12" s="103"/>
      <c r="W12" s="21"/>
      <c r="X12" s="21"/>
      <c r="Y12" s="21"/>
      <c r="Z12" s="59"/>
      <c r="AA12" s="103"/>
      <c r="AB12" s="21"/>
      <c r="AC12" s="21"/>
      <c r="AD12" s="21"/>
      <c r="AE12" s="95"/>
      <c r="AF12" s="59"/>
      <c r="AG12" s="59"/>
      <c r="AH12" s="59"/>
      <c r="AI12" s="59"/>
      <c r="AJ12" s="59"/>
      <c r="AK12" s="103"/>
      <c r="AL12" s="59"/>
      <c r="AM12" s="59"/>
      <c r="AN12" s="59"/>
      <c r="AO12" s="95"/>
      <c r="AP12" s="103"/>
      <c r="AQ12" s="59"/>
      <c r="AR12" s="59"/>
      <c r="AS12" s="59"/>
      <c r="AT12" s="95"/>
      <c r="AU12" s="21"/>
      <c r="AV12" s="59"/>
      <c r="AW12" s="59"/>
      <c r="AX12" s="59"/>
      <c r="AY12" s="59"/>
      <c r="AZ12" s="103"/>
      <c r="BA12" s="59"/>
      <c r="BB12" s="59"/>
      <c r="BC12" s="59"/>
      <c r="BD12" s="59"/>
      <c r="BE12" s="103"/>
      <c r="BF12" s="59"/>
      <c r="BG12" s="59"/>
      <c r="BH12" s="59"/>
      <c r="BI12" s="59"/>
      <c r="BJ12" s="103"/>
      <c r="BK12" s="21"/>
      <c r="BL12" s="21"/>
      <c r="BM12" s="21"/>
      <c r="BN12" s="95"/>
      <c r="BO12" s="106"/>
      <c r="BP12" s="59"/>
      <c r="BQ12" s="59"/>
      <c r="BR12" s="59"/>
      <c r="BS12" s="59"/>
      <c r="BT12" s="103">
        <v>17</v>
      </c>
      <c r="BU12" s="21">
        <v>7342</v>
      </c>
      <c r="BV12" s="21">
        <v>124</v>
      </c>
      <c r="BW12" s="21">
        <v>17041</v>
      </c>
      <c r="BX12" s="95">
        <v>5.8599999999999999E-2</v>
      </c>
      <c r="BY12" s="103"/>
      <c r="BZ12" s="21"/>
      <c r="CA12" s="21"/>
      <c r="CB12" s="21"/>
      <c r="CC12" s="59"/>
      <c r="CD12" s="103"/>
      <c r="CE12" s="21"/>
      <c r="CF12" s="21"/>
      <c r="CG12" s="21"/>
      <c r="CH12" s="59"/>
      <c r="CI12" s="103"/>
      <c r="CJ12" s="21"/>
      <c r="CK12" s="21"/>
      <c r="CL12" s="21"/>
      <c r="CM12" s="60"/>
      <c r="CN12" s="103"/>
      <c r="CO12" s="21"/>
      <c r="CP12" s="21"/>
      <c r="CQ12" s="21"/>
      <c r="CR12" s="59"/>
      <c r="CS12" s="103"/>
      <c r="CT12" s="21"/>
      <c r="CU12" s="21"/>
      <c r="CV12" s="21"/>
      <c r="CW12" s="95"/>
      <c r="CX12" s="59"/>
      <c r="CY12" s="59"/>
      <c r="CZ12" s="59"/>
      <c r="DA12" s="59"/>
      <c r="DB12" s="59"/>
      <c r="DC12" s="103"/>
      <c r="DD12" s="59"/>
      <c r="DE12" s="59"/>
      <c r="DF12" s="59"/>
      <c r="DG12" s="60"/>
      <c r="DH12" s="59"/>
      <c r="DI12" s="21">
        <f>316+62743+6313</f>
        <v>69372</v>
      </c>
      <c r="DJ12" s="21">
        <f>65+10330</f>
        <v>10395</v>
      </c>
      <c r="DK12" s="21">
        <v>4697</v>
      </c>
      <c r="DL12" s="59">
        <f>DL14-DL10-DL9-DL8-DL7</f>
        <v>77.760000000000005</v>
      </c>
      <c r="DM12" s="103"/>
      <c r="DN12" s="59"/>
      <c r="DO12" s="59"/>
      <c r="DP12" s="59"/>
      <c r="DQ12" s="59"/>
      <c r="DR12" s="106"/>
      <c r="DS12" s="59"/>
      <c r="DT12" s="59"/>
      <c r="DU12" s="59"/>
      <c r="DV12" s="59"/>
      <c r="DW12" s="106"/>
      <c r="DX12" s="59"/>
      <c r="DY12" s="59"/>
      <c r="DZ12" s="59"/>
      <c r="EA12" s="59"/>
      <c r="EB12" s="103"/>
      <c r="EC12" s="21"/>
      <c r="ED12" s="21"/>
      <c r="EE12" s="21"/>
      <c r="EF12" s="59"/>
      <c r="EG12" s="103"/>
      <c r="EH12" s="59"/>
      <c r="EI12" s="59"/>
      <c r="EJ12" s="59"/>
      <c r="EK12" s="59"/>
      <c r="EL12" s="103"/>
      <c r="EM12" s="59"/>
      <c r="EN12" s="59"/>
      <c r="EO12" s="59"/>
      <c r="EP12" s="59"/>
      <c r="EQ12" s="103"/>
      <c r="ER12" s="59"/>
      <c r="ES12" s="59"/>
      <c r="ET12" s="59"/>
      <c r="EU12" s="59"/>
      <c r="EV12" s="106"/>
      <c r="EW12" s="21"/>
      <c r="EX12" s="21"/>
      <c r="EY12" s="21"/>
      <c r="EZ12" s="57"/>
      <c r="FA12" s="21">
        <v>16</v>
      </c>
      <c r="FB12" s="21">
        <v>30240</v>
      </c>
      <c r="FC12" s="21">
        <v>5678</v>
      </c>
      <c r="FD12" s="21">
        <v>829</v>
      </c>
      <c r="FE12" s="59">
        <v>18.399999999999999</v>
      </c>
      <c r="FF12" s="103"/>
      <c r="FG12" s="21"/>
      <c r="FH12" s="21"/>
      <c r="FI12" s="21"/>
      <c r="FJ12" s="59"/>
    </row>
    <row r="13" spans="1:166" x14ac:dyDescent="0.25">
      <c r="A13" s="59" t="s">
        <v>368</v>
      </c>
      <c r="B13" s="103"/>
      <c r="C13" s="59"/>
      <c r="D13" s="59"/>
      <c r="E13" s="59"/>
      <c r="F13" s="95"/>
      <c r="G13" s="103"/>
      <c r="H13" s="59"/>
      <c r="I13" s="59"/>
      <c r="J13" s="59"/>
      <c r="K13" s="95"/>
      <c r="L13" s="103"/>
      <c r="M13" s="59"/>
      <c r="N13" s="59"/>
      <c r="O13" s="59"/>
      <c r="P13" s="95"/>
      <c r="Q13" s="103"/>
      <c r="R13" s="21"/>
      <c r="S13" s="21"/>
      <c r="T13" s="59"/>
      <c r="U13" s="95"/>
      <c r="V13" s="103"/>
      <c r="W13" s="21"/>
      <c r="X13" s="21"/>
      <c r="Y13" s="21"/>
      <c r="Z13" s="59"/>
      <c r="AA13" s="103"/>
      <c r="AB13" s="21"/>
      <c r="AC13" s="21"/>
      <c r="AD13" s="21"/>
      <c r="AE13" s="59"/>
      <c r="AF13" s="59"/>
      <c r="AG13" s="59"/>
      <c r="AH13" s="59"/>
      <c r="AI13" s="59"/>
      <c r="AJ13" s="59"/>
      <c r="AK13" s="103"/>
      <c r="AL13" s="59"/>
      <c r="AM13" s="59"/>
      <c r="AN13" s="59"/>
      <c r="AO13" s="95"/>
      <c r="AP13" s="103"/>
      <c r="AQ13" s="59"/>
      <c r="AR13" s="59"/>
      <c r="AS13" s="59"/>
      <c r="AT13" s="95"/>
      <c r="AU13" s="21"/>
      <c r="AV13" s="59"/>
      <c r="AW13" s="59"/>
      <c r="AX13" s="59"/>
      <c r="AY13" s="59"/>
      <c r="AZ13" s="103"/>
      <c r="BA13" s="59"/>
      <c r="BB13" s="59"/>
      <c r="BC13" s="59"/>
      <c r="BD13" s="59"/>
      <c r="BE13" s="103">
        <v>11</v>
      </c>
      <c r="BF13" s="59">
        <v>1140.000004</v>
      </c>
      <c r="BG13" s="59">
        <v>35.909999999999997</v>
      </c>
      <c r="BH13" s="59">
        <v>1300.724101</v>
      </c>
      <c r="BI13" s="95">
        <v>4.1942237E-2</v>
      </c>
      <c r="BJ13" s="103"/>
      <c r="BK13" s="21"/>
      <c r="BL13" s="21"/>
      <c r="BM13" s="21"/>
      <c r="BN13" s="95"/>
      <c r="BO13" s="103">
        <v>21</v>
      </c>
      <c r="BP13" s="59"/>
      <c r="BQ13" s="59"/>
      <c r="BR13" s="59">
        <v>6212.9</v>
      </c>
      <c r="BS13" s="95">
        <v>1.8200000000000001E-2</v>
      </c>
      <c r="BT13" s="103"/>
      <c r="BU13" s="21"/>
      <c r="BV13" s="21"/>
      <c r="BW13" s="21"/>
      <c r="BX13" s="59"/>
      <c r="BY13" s="103">
        <v>14</v>
      </c>
      <c r="BZ13" s="21">
        <v>3564</v>
      </c>
      <c r="CA13" s="21">
        <v>334</v>
      </c>
      <c r="CB13" s="21">
        <v>2154</v>
      </c>
      <c r="CC13" s="95">
        <v>0.03</v>
      </c>
      <c r="CD13" s="103">
        <v>3</v>
      </c>
      <c r="CE13" s="21"/>
      <c r="CF13" s="21"/>
      <c r="CG13" s="21">
        <v>4</v>
      </c>
      <c r="CH13" s="95">
        <v>2E-3</v>
      </c>
      <c r="CI13" s="103"/>
      <c r="CJ13" s="21"/>
      <c r="CK13" s="21"/>
      <c r="CL13" s="21"/>
      <c r="CM13" s="60"/>
      <c r="CN13" s="103">
        <v>2</v>
      </c>
      <c r="CO13" s="21"/>
      <c r="CP13" s="21"/>
      <c r="CQ13" s="21">
        <v>192</v>
      </c>
      <c r="CR13" s="95">
        <v>5.1000000000000004E-3</v>
      </c>
      <c r="CS13" s="103"/>
      <c r="CT13" s="21"/>
      <c r="CU13" s="21"/>
      <c r="CV13" s="21"/>
      <c r="CW13" s="95"/>
      <c r="CX13" s="59"/>
      <c r="CY13" s="59"/>
      <c r="CZ13" s="59"/>
      <c r="DA13" s="59"/>
      <c r="DB13" s="59"/>
      <c r="DC13" s="103"/>
      <c r="DD13" s="59"/>
      <c r="DE13" s="59"/>
      <c r="DF13" s="59"/>
      <c r="DG13" s="60"/>
      <c r="DH13" s="59"/>
      <c r="DI13" s="21"/>
      <c r="DJ13" s="21"/>
      <c r="DK13" s="21"/>
      <c r="DL13" s="59"/>
      <c r="DM13" s="103"/>
      <c r="DN13" s="59"/>
      <c r="DO13" s="59"/>
      <c r="DP13" s="59"/>
      <c r="DQ13" s="59"/>
      <c r="DR13" s="103">
        <v>22</v>
      </c>
      <c r="DS13" s="59">
        <v>4139.26</v>
      </c>
      <c r="DT13" s="59">
        <v>229.44</v>
      </c>
      <c r="DU13" s="59">
        <v>1874.03</v>
      </c>
      <c r="DV13" s="57">
        <v>0.1229</v>
      </c>
      <c r="DW13" s="106"/>
      <c r="DX13" s="59"/>
      <c r="DY13" s="59"/>
      <c r="DZ13" s="59"/>
      <c r="EA13" s="59"/>
      <c r="EB13" s="103"/>
      <c r="EC13" s="21"/>
      <c r="ED13" s="21"/>
      <c r="EE13" s="21"/>
      <c r="EF13" s="59"/>
      <c r="EG13" s="103">
        <v>17</v>
      </c>
      <c r="EH13" s="59"/>
      <c r="EI13" s="59"/>
      <c r="EJ13" s="59">
        <v>962.57</v>
      </c>
      <c r="EK13" s="95">
        <v>6.1999999999999998E-3</v>
      </c>
      <c r="EL13" s="103"/>
      <c r="EM13" s="59"/>
      <c r="EN13" s="59"/>
      <c r="EO13" s="59"/>
      <c r="EP13" s="59"/>
      <c r="EQ13" s="103"/>
      <c r="ER13" s="59"/>
      <c r="ES13" s="59"/>
      <c r="ET13" s="59"/>
      <c r="EU13" s="59"/>
      <c r="EV13" s="103">
        <v>33</v>
      </c>
      <c r="EW13" s="21">
        <v>2211</v>
      </c>
      <c r="EX13" s="21">
        <v>147</v>
      </c>
      <c r="EY13" s="21">
        <v>1276</v>
      </c>
      <c r="EZ13" s="57">
        <v>0.02</v>
      </c>
      <c r="FA13" s="21"/>
      <c r="FB13" s="21"/>
      <c r="FC13" s="21"/>
      <c r="FD13" s="21"/>
      <c r="FE13" s="59"/>
      <c r="FF13" s="103"/>
      <c r="FG13" s="21"/>
      <c r="FH13" s="21"/>
      <c r="FI13" s="21"/>
      <c r="FJ13" s="59"/>
    </row>
    <row r="14" spans="1:166" s="101" customFormat="1" x14ac:dyDescent="0.25">
      <c r="A14" s="98" t="s">
        <v>359</v>
      </c>
      <c r="B14" s="104">
        <v>4</v>
      </c>
      <c r="C14" s="98">
        <v>2731.46</v>
      </c>
      <c r="D14" s="98">
        <v>48.63</v>
      </c>
      <c r="E14" s="98"/>
      <c r="F14" s="99">
        <v>1</v>
      </c>
      <c r="G14" s="104">
        <v>7</v>
      </c>
      <c r="H14" s="98">
        <v>587.28</v>
      </c>
      <c r="I14" s="98">
        <v>55.02</v>
      </c>
      <c r="J14" s="98"/>
      <c r="K14" s="99">
        <v>1</v>
      </c>
      <c r="L14" s="104">
        <v>50</v>
      </c>
      <c r="M14" s="98">
        <v>445219.23</v>
      </c>
      <c r="N14" s="98">
        <v>14840.47</v>
      </c>
      <c r="O14" s="98"/>
      <c r="P14" s="99">
        <v>1</v>
      </c>
      <c r="Q14" s="104"/>
      <c r="R14" s="30">
        <v>28236</v>
      </c>
      <c r="S14" s="30">
        <v>268</v>
      </c>
      <c r="T14" s="98"/>
      <c r="U14" s="99">
        <v>1</v>
      </c>
      <c r="V14" s="104">
        <v>270</v>
      </c>
      <c r="W14" s="30">
        <v>38173</v>
      </c>
      <c r="X14" s="30">
        <v>3093</v>
      </c>
      <c r="Y14" s="30">
        <v>14262</v>
      </c>
      <c r="Z14" s="99">
        <v>1</v>
      </c>
      <c r="AA14" s="104">
        <v>67</v>
      </c>
      <c r="AB14" s="30">
        <v>4912172850</v>
      </c>
      <c r="AC14" s="30">
        <v>408080838</v>
      </c>
      <c r="AD14" s="30">
        <v>307682808</v>
      </c>
      <c r="AE14" s="99">
        <v>1</v>
      </c>
      <c r="AF14" s="98"/>
      <c r="AG14" s="98">
        <v>24647.24</v>
      </c>
      <c r="AH14" s="98">
        <v>1581.72</v>
      </c>
      <c r="AI14" s="98">
        <v>4689.4799999999996</v>
      </c>
      <c r="AJ14" s="99">
        <v>1</v>
      </c>
      <c r="AK14" s="104">
        <v>3</v>
      </c>
      <c r="AL14" s="98">
        <v>559.6</v>
      </c>
      <c r="AM14" s="98">
        <v>3.77</v>
      </c>
      <c r="AN14" s="98">
        <v>-0.96</v>
      </c>
      <c r="AO14" s="99">
        <v>1</v>
      </c>
      <c r="AP14" s="104">
        <v>8</v>
      </c>
      <c r="AQ14" s="98">
        <v>6560.52</v>
      </c>
      <c r="AR14" s="98">
        <v>306</v>
      </c>
      <c r="AS14" s="98"/>
      <c r="AT14" s="99">
        <v>1</v>
      </c>
      <c r="AU14" s="30">
        <v>25</v>
      </c>
      <c r="AV14" s="98">
        <v>1442.77</v>
      </c>
      <c r="AW14" s="98">
        <v>136.32</v>
      </c>
      <c r="AX14" s="98">
        <v>25.43</v>
      </c>
      <c r="AY14" s="99">
        <v>1</v>
      </c>
      <c r="AZ14" s="104">
        <v>11</v>
      </c>
      <c r="BA14" s="98">
        <v>24496.2</v>
      </c>
      <c r="BB14" s="98">
        <v>3609.97</v>
      </c>
      <c r="BC14" s="98"/>
      <c r="BD14" s="99">
        <v>1</v>
      </c>
      <c r="BE14" s="104">
        <v>69</v>
      </c>
      <c r="BF14" s="98">
        <v>41858.483670000001</v>
      </c>
      <c r="BG14" s="98">
        <v>9042.7151790000007</v>
      </c>
      <c r="BH14" s="98">
        <v>8147.49046</v>
      </c>
      <c r="BI14" s="99">
        <v>1</v>
      </c>
      <c r="BJ14" s="104">
        <v>41</v>
      </c>
      <c r="BK14" s="30">
        <v>10834</v>
      </c>
      <c r="BL14" s="30">
        <v>222</v>
      </c>
      <c r="BM14" s="30">
        <v>840</v>
      </c>
      <c r="BN14" s="99">
        <v>1</v>
      </c>
      <c r="BO14" s="104">
        <v>218</v>
      </c>
      <c r="BP14" s="98">
        <v>296710.59999999998</v>
      </c>
      <c r="BQ14" s="98">
        <v>10473.200000000001</v>
      </c>
      <c r="BR14" s="98">
        <v>34399.1</v>
      </c>
      <c r="BS14" s="99">
        <v>1</v>
      </c>
      <c r="BT14" s="104">
        <v>269</v>
      </c>
      <c r="BU14" s="30">
        <v>333624</v>
      </c>
      <c r="BV14" s="30">
        <v>20438</v>
      </c>
      <c r="BW14" s="30">
        <v>64314</v>
      </c>
      <c r="BX14" s="99">
        <v>1</v>
      </c>
      <c r="BY14" s="104">
        <v>173</v>
      </c>
      <c r="BZ14" s="30">
        <v>169611</v>
      </c>
      <c r="CA14" s="30">
        <v>12609</v>
      </c>
      <c r="CB14" s="30">
        <v>37506</v>
      </c>
      <c r="CC14" s="99">
        <v>1.26</v>
      </c>
      <c r="CD14" s="104">
        <v>8</v>
      </c>
      <c r="CE14" s="30">
        <v>2039</v>
      </c>
      <c r="CF14" s="30">
        <v>335</v>
      </c>
      <c r="CG14" s="30">
        <v>5</v>
      </c>
      <c r="CH14" s="99">
        <v>1</v>
      </c>
      <c r="CI14" s="104">
        <v>22</v>
      </c>
      <c r="CJ14" s="30">
        <v>9027</v>
      </c>
      <c r="CK14" s="30">
        <v>2196</v>
      </c>
      <c r="CL14" s="30">
        <v>373</v>
      </c>
      <c r="CM14" s="99">
        <v>1</v>
      </c>
      <c r="CN14" s="104">
        <v>47</v>
      </c>
      <c r="CO14" s="30">
        <v>20661</v>
      </c>
      <c r="CP14" s="30">
        <v>15512</v>
      </c>
      <c r="CQ14" s="30">
        <v>1280</v>
      </c>
      <c r="CR14" s="99">
        <v>1</v>
      </c>
      <c r="CS14" s="104">
        <v>3</v>
      </c>
      <c r="CT14" s="30">
        <v>15161</v>
      </c>
      <c r="CU14" s="30">
        <v>47</v>
      </c>
      <c r="CV14" s="30"/>
      <c r="CW14" s="99">
        <v>1</v>
      </c>
      <c r="CX14" s="98"/>
      <c r="CY14" s="98"/>
      <c r="CZ14" s="98"/>
      <c r="DA14" s="98"/>
      <c r="DB14" s="98"/>
      <c r="DC14" s="104"/>
      <c r="DD14" s="98">
        <v>76374.240000000005</v>
      </c>
      <c r="DE14" s="98">
        <v>8102.68</v>
      </c>
      <c r="DF14" s="98">
        <v>48566.93</v>
      </c>
      <c r="DG14" s="100">
        <v>1</v>
      </c>
      <c r="DH14" s="98"/>
      <c r="DI14" s="30">
        <v>78493</v>
      </c>
      <c r="DJ14" s="30">
        <v>19410</v>
      </c>
      <c r="DK14" s="30">
        <v>10709</v>
      </c>
      <c r="DL14" s="98">
        <v>100</v>
      </c>
      <c r="DM14" s="104">
        <v>8</v>
      </c>
      <c r="DN14" s="98">
        <v>527.71</v>
      </c>
      <c r="DO14" s="98">
        <v>801.32</v>
      </c>
      <c r="DP14" s="98">
        <v>309.37</v>
      </c>
      <c r="DQ14" s="99">
        <v>1</v>
      </c>
      <c r="DR14" s="104">
        <v>162</v>
      </c>
      <c r="DS14" s="98">
        <v>43852.91</v>
      </c>
      <c r="DT14" s="98">
        <v>2987.42</v>
      </c>
      <c r="DU14" s="98">
        <v>3945.91</v>
      </c>
      <c r="DV14" s="100">
        <v>1</v>
      </c>
      <c r="DW14" s="104">
        <v>1</v>
      </c>
      <c r="DX14" s="98">
        <v>26432.3</v>
      </c>
      <c r="DY14" s="30">
        <v>184</v>
      </c>
      <c r="DZ14" s="30">
        <v>15470</v>
      </c>
      <c r="EA14" s="100">
        <v>1</v>
      </c>
      <c r="EB14" s="104">
        <v>50</v>
      </c>
      <c r="EC14" s="30">
        <v>18133</v>
      </c>
      <c r="ED14" s="30">
        <v>1805</v>
      </c>
      <c r="EE14" s="30">
        <v>449</v>
      </c>
      <c r="EF14" s="99">
        <v>1</v>
      </c>
      <c r="EG14" s="104">
        <v>130</v>
      </c>
      <c r="EH14" s="98">
        <v>143290.18</v>
      </c>
      <c r="EI14" s="98">
        <v>8787.99</v>
      </c>
      <c r="EJ14" s="98">
        <v>2210.67</v>
      </c>
      <c r="EK14" s="99">
        <v>1</v>
      </c>
      <c r="EL14" s="104">
        <v>20</v>
      </c>
      <c r="EM14" s="98">
        <v>3497.25</v>
      </c>
      <c r="EN14" s="98">
        <v>488.44</v>
      </c>
      <c r="EO14" s="98">
        <v>797.25</v>
      </c>
      <c r="EP14" s="98"/>
      <c r="EQ14" s="104"/>
      <c r="ER14" s="98">
        <v>76812</v>
      </c>
      <c r="ES14" s="98">
        <v>312</v>
      </c>
      <c r="ET14" s="98">
        <v>0.33</v>
      </c>
      <c r="EU14" s="100">
        <v>1</v>
      </c>
      <c r="EV14" s="104">
        <v>267</v>
      </c>
      <c r="EW14" s="30">
        <v>177772</v>
      </c>
      <c r="EX14" s="30">
        <v>13885</v>
      </c>
      <c r="EY14" s="30">
        <v>20040</v>
      </c>
      <c r="EZ14" s="100">
        <v>1</v>
      </c>
      <c r="FA14" s="30">
        <v>303</v>
      </c>
      <c r="FB14" s="30">
        <v>85705</v>
      </c>
      <c r="FC14" s="30">
        <v>36948</v>
      </c>
      <c r="FD14" s="30">
        <v>77057</v>
      </c>
      <c r="FE14" s="98">
        <v>100</v>
      </c>
      <c r="FF14" s="104">
        <v>56</v>
      </c>
      <c r="FG14" s="30">
        <v>92988</v>
      </c>
      <c r="FH14" s="30">
        <v>9672</v>
      </c>
      <c r="FI14" s="30">
        <v>4119</v>
      </c>
      <c r="FJ14" s="99">
        <v>1</v>
      </c>
    </row>
    <row r="15" spans="1:166" x14ac:dyDescent="0.25">
      <c r="F15" s="93"/>
      <c r="AT15" s="93"/>
      <c r="EW15" s="4"/>
      <c r="EX15" s="4"/>
      <c r="EY15" s="4"/>
    </row>
    <row r="16" spans="1:166" x14ac:dyDescent="0.25">
      <c r="EW16" s="4"/>
      <c r="EX16" s="4"/>
      <c r="EY16" s="4"/>
    </row>
  </sheetData>
  <mergeCells count="133">
    <mergeCell ref="FF3:FJ3"/>
    <mergeCell ref="FF4:FF5"/>
    <mergeCell ref="FG4:FI4"/>
    <mergeCell ref="FJ4:FJ5"/>
    <mergeCell ref="FA3:FE3"/>
    <mergeCell ref="FA4:FA5"/>
    <mergeCell ref="FB4:FD4"/>
    <mergeCell ref="FE4:FE5"/>
    <mergeCell ref="EQ3:EU3"/>
    <mergeCell ref="EQ4:EQ5"/>
    <mergeCell ref="ER4:ET4"/>
    <mergeCell ref="EU4:EU5"/>
    <mergeCell ref="EV3:EZ3"/>
    <mergeCell ref="EV4:EV5"/>
    <mergeCell ref="EW4:EY4"/>
    <mergeCell ref="EZ4:EZ5"/>
    <mergeCell ref="EG3:EK3"/>
    <mergeCell ref="EG4:EG5"/>
    <mergeCell ref="EH4:EJ4"/>
    <mergeCell ref="EK4:EK5"/>
    <mergeCell ref="EL3:EP3"/>
    <mergeCell ref="EL4:EL5"/>
    <mergeCell ref="EM4:EO4"/>
    <mergeCell ref="EP4:EP5"/>
    <mergeCell ref="DW3:EA3"/>
    <mergeCell ref="DW4:DW5"/>
    <mergeCell ref="DX4:DZ4"/>
    <mergeCell ref="EA4:EA5"/>
    <mergeCell ref="EB3:EF3"/>
    <mergeCell ref="EB4:EB5"/>
    <mergeCell ref="EC4:EE4"/>
    <mergeCell ref="EF4:EF5"/>
    <mergeCell ref="DM3:DQ3"/>
    <mergeCell ref="DM4:DM5"/>
    <mergeCell ref="DN4:DP4"/>
    <mergeCell ref="DQ4:DQ5"/>
    <mergeCell ref="DR3:DV3"/>
    <mergeCell ref="DR4:DR5"/>
    <mergeCell ref="DS4:DU4"/>
    <mergeCell ref="DV4:DV5"/>
    <mergeCell ref="DC3:DG3"/>
    <mergeCell ref="DC4:DC5"/>
    <mergeCell ref="DD4:DF4"/>
    <mergeCell ref="DG4:DG5"/>
    <mergeCell ref="DH3:DL3"/>
    <mergeCell ref="DH4:DH5"/>
    <mergeCell ref="DI4:DK4"/>
    <mergeCell ref="DL4:DL5"/>
    <mergeCell ref="CS3:CW3"/>
    <mergeCell ref="CS4:CS5"/>
    <mergeCell ref="CT4:CV4"/>
    <mergeCell ref="CW4:CW5"/>
    <mergeCell ref="CX3:DB3"/>
    <mergeCell ref="CX4:CX5"/>
    <mergeCell ref="CY4:DA4"/>
    <mergeCell ref="DB4:DB5"/>
    <mergeCell ref="CI3:CM3"/>
    <mergeCell ref="CI4:CI5"/>
    <mergeCell ref="CJ4:CL4"/>
    <mergeCell ref="CM4:CM5"/>
    <mergeCell ref="CN3:CR3"/>
    <mergeCell ref="CN4:CN5"/>
    <mergeCell ref="CO4:CQ4"/>
    <mergeCell ref="CR4:CR5"/>
    <mergeCell ref="BY3:CC3"/>
    <mergeCell ref="BY4:BY5"/>
    <mergeCell ref="BZ4:CB4"/>
    <mergeCell ref="CC4:CC5"/>
    <mergeCell ref="CD3:CH3"/>
    <mergeCell ref="CD4:CD5"/>
    <mergeCell ref="CE4:CG4"/>
    <mergeCell ref="CH4:CH5"/>
    <mergeCell ref="BO3:BS3"/>
    <mergeCell ref="BO4:BO5"/>
    <mergeCell ref="BP4:BR4"/>
    <mergeCell ref="BS4:BS5"/>
    <mergeCell ref="BT3:BX3"/>
    <mergeCell ref="BT4:BT5"/>
    <mergeCell ref="BU4:BW4"/>
    <mergeCell ref="BX4:BX5"/>
    <mergeCell ref="BI4:BI5"/>
    <mergeCell ref="BE3:BI3"/>
    <mergeCell ref="BJ3:BN3"/>
    <mergeCell ref="BJ4:BJ5"/>
    <mergeCell ref="BK4:BM4"/>
    <mergeCell ref="BN4:BN5"/>
    <mergeCell ref="AZ3:BD3"/>
    <mergeCell ref="AZ4:AZ5"/>
    <mergeCell ref="BA4:BC4"/>
    <mergeCell ref="BD4:BD5"/>
    <mergeCell ref="BE4:BE5"/>
    <mergeCell ref="BF4:BH4"/>
    <mergeCell ref="AU3:AY3"/>
    <mergeCell ref="AU4:AU5"/>
    <mergeCell ref="AV4:AX4"/>
    <mergeCell ref="AY4:AY5"/>
    <mergeCell ref="AK3:AO3"/>
    <mergeCell ref="AK4:AK5"/>
    <mergeCell ref="AL4:AN4"/>
    <mergeCell ref="AO4:AO5"/>
    <mergeCell ref="AP3:AT3"/>
    <mergeCell ref="AP4:AP5"/>
    <mergeCell ref="AQ4:AS4"/>
    <mergeCell ref="AT4:AT5"/>
    <mergeCell ref="AA3:AE3"/>
    <mergeCell ref="AA4:AA5"/>
    <mergeCell ref="AB4:AD4"/>
    <mergeCell ref="AE4:AE5"/>
    <mergeCell ref="AF3:AJ3"/>
    <mergeCell ref="AF4:AF5"/>
    <mergeCell ref="AG4:AI4"/>
    <mergeCell ref="AJ4:AJ5"/>
    <mergeCell ref="Q3:U3"/>
    <mergeCell ref="Q4:Q5"/>
    <mergeCell ref="R4:T4"/>
    <mergeCell ref="U4:U5"/>
    <mergeCell ref="V3:Z3"/>
    <mergeCell ref="V4:V5"/>
    <mergeCell ref="W4:Y4"/>
    <mergeCell ref="Z4:Z5"/>
    <mergeCell ref="A4:A5"/>
    <mergeCell ref="G4:G5"/>
    <mergeCell ref="H4:J4"/>
    <mergeCell ref="K4:K5"/>
    <mergeCell ref="G3:K3"/>
    <mergeCell ref="L3:P3"/>
    <mergeCell ref="L4:L5"/>
    <mergeCell ref="M4:O4"/>
    <mergeCell ref="P4:P5"/>
    <mergeCell ref="B3:F3"/>
    <mergeCell ref="C4:E4"/>
    <mergeCell ref="B4:B5"/>
    <mergeCell ref="F4:F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8.5703125" style="4" customWidth="1"/>
    <col min="2" max="100" width="16" style="4" customWidth="1"/>
    <col min="101" max="16384" width="9.140625" style="4"/>
  </cols>
  <sheetData>
    <row r="1" spans="1:100" ht="18.75" x14ac:dyDescent="0.3">
      <c r="A1" s="42" t="s">
        <v>349</v>
      </c>
    </row>
    <row r="2" spans="1:100" x14ac:dyDescent="0.25">
      <c r="A2" s="4" t="s">
        <v>339</v>
      </c>
      <c r="E2" s="108"/>
    </row>
    <row r="3" spans="1:100" s="15" customFormat="1" x14ac:dyDescent="0.25">
      <c r="A3" s="24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20" t="s">
        <v>5</v>
      </c>
      <c r="O3" s="120"/>
      <c r="P3" s="12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0"/>
      <c r="AC3" s="110" t="s">
        <v>10</v>
      </c>
      <c r="AD3" s="110"/>
      <c r="AE3" s="110"/>
      <c r="AF3" s="110" t="s">
        <v>11</v>
      </c>
      <c r="AG3" s="110"/>
      <c r="AH3" s="110"/>
      <c r="AI3" s="110" t="s">
        <v>12</v>
      </c>
      <c r="AJ3" s="110"/>
      <c r="AK3" s="110"/>
      <c r="AL3" s="110" t="s">
        <v>13</v>
      </c>
      <c r="AM3" s="110"/>
      <c r="AN3" s="110"/>
      <c r="AO3" s="110" t="s">
        <v>14</v>
      </c>
      <c r="AP3" s="110"/>
      <c r="AQ3" s="110"/>
      <c r="AR3" s="110" t="s">
        <v>15</v>
      </c>
      <c r="AS3" s="110"/>
      <c r="AT3" s="110"/>
      <c r="AU3" s="110" t="s">
        <v>16</v>
      </c>
      <c r="AV3" s="110"/>
      <c r="AW3" s="110"/>
      <c r="AX3" s="110" t="s">
        <v>17</v>
      </c>
      <c r="AY3" s="110"/>
      <c r="AZ3" s="110"/>
      <c r="BA3" s="110" t="s">
        <v>18</v>
      </c>
      <c r="BB3" s="110"/>
      <c r="BC3" s="110"/>
      <c r="BD3" s="110" t="s">
        <v>19</v>
      </c>
      <c r="BE3" s="110"/>
      <c r="BF3" s="110"/>
      <c r="BG3" s="110" t="s">
        <v>20</v>
      </c>
      <c r="BH3" s="110"/>
      <c r="BI3" s="110"/>
      <c r="BJ3" s="110" t="s">
        <v>21</v>
      </c>
      <c r="BK3" s="110"/>
      <c r="BL3" s="110"/>
      <c r="BM3" s="110" t="s">
        <v>161</v>
      </c>
      <c r="BN3" s="110"/>
      <c r="BO3" s="110"/>
      <c r="BP3" s="110" t="s">
        <v>162</v>
      </c>
      <c r="BQ3" s="110"/>
      <c r="BR3" s="110"/>
      <c r="BS3" s="110" t="s">
        <v>22</v>
      </c>
      <c r="BT3" s="110"/>
      <c r="BU3" s="110"/>
      <c r="BV3" s="110" t="s">
        <v>23</v>
      </c>
      <c r="BW3" s="110"/>
      <c r="BX3" s="110"/>
      <c r="BY3" s="110" t="s">
        <v>24</v>
      </c>
      <c r="BZ3" s="110"/>
      <c r="CA3" s="110"/>
      <c r="CB3" s="110" t="s">
        <v>25</v>
      </c>
      <c r="CC3" s="110"/>
      <c r="CD3" s="110"/>
      <c r="CE3" s="110" t="s">
        <v>26</v>
      </c>
      <c r="CF3" s="110"/>
      <c r="CG3" s="110"/>
      <c r="CH3" s="110" t="s">
        <v>27</v>
      </c>
      <c r="CI3" s="110"/>
      <c r="CJ3" s="110"/>
      <c r="CK3" s="110" t="s">
        <v>28</v>
      </c>
      <c r="CL3" s="110"/>
      <c r="CM3" s="110"/>
      <c r="CN3" s="110" t="s">
        <v>29</v>
      </c>
      <c r="CO3" s="110"/>
      <c r="CP3" s="110"/>
      <c r="CQ3" s="110" t="s">
        <v>30</v>
      </c>
      <c r="CR3" s="110"/>
      <c r="CS3" s="110"/>
      <c r="CT3" s="110" t="s">
        <v>31</v>
      </c>
      <c r="CU3" s="110"/>
      <c r="CV3" s="110"/>
    </row>
    <row r="4" spans="1:100" s="22" customFormat="1" x14ac:dyDescent="0.25">
      <c r="A4" s="82"/>
      <c r="B4" s="82" t="s">
        <v>371</v>
      </c>
      <c r="C4" s="82" t="s">
        <v>372</v>
      </c>
      <c r="D4" s="82" t="s">
        <v>359</v>
      </c>
      <c r="E4" s="82" t="s">
        <v>371</v>
      </c>
      <c r="F4" s="82" t="s">
        <v>372</v>
      </c>
      <c r="G4" s="82" t="s">
        <v>359</v>
      </c>
      <c r="H4" s="82" t="s">
        <v>371</v>
      </c>
      <c r="I4" s="82" t="s">
        <v>372</v>
      </c>
      <c r="J4" s="82" t="s">
        <v>359</v>
      </c>
      <c r="K4" s="82" t="s">
        <v>371</v>
      </c>
      <c r="L4" s="82" t="s">
        <v>372</v>
      </c>
      <c r="M4" s="82" t="s">
        <v>359</v>
      </c>
      <c r="N4" s="82" t="s">
        <v>371</v>
      </c>
      <c r="O4" s="82" t="s">
        <v>372</v>
      </c>
      <c r="P4" s="82" t="s">
        <v>359</v>
      </c>
      <c r="Q4" s="82" t="s">
        <v>371</v>
      </c>
      <c r="R4" s="82" t="s">
        <v>372</v>
      </c>
      <c r="S4" s="82" t="s">
        <v>359</v>
      </c>
      <c r="T4" s="82" t="s">
        <v>371</v>
      </c>
      <c r="U4" s="82" t="s">
        <v>372</v>
      </c>
      <c r="V4" s="82" t="s">
        <v>359</v>
      </c>
      <c r="W4" s="82" t="s">
        <v>371</v>
      </c>
      <c r="X4" s="82" t="s">
        <v>372</v>
      </c>
      <c r="Y4" s="82" t="s">
        <v>359</v>
      </c>
      <c r="Z4" s="82" t="s">
        <v>371</v>
      </c>
      <c r="AA4" s="82" t="s">
        <v>372</v>
      </c>
      <c r="AB4" s="82" t="s">
        <v>359</v>
      </c>
      <c r="AC4" s="82" t="s">
        <v>371</v>
      </c>
      <c r="AD4" s="82" t="s">
        <v>372</v>
      </c>
      <c r="AE4" s="82" t="s">
        <v>359</v>
      </c>
      <c r="AF4" s="82" t="s">
        <v>371</v>
      </c>
      <c r="AG4" s="82" t="s">
        <v>372</v>
      </c>
      <c r="AH4" s="82" t="s">
        <v>359</v>
      </c>
      <c r="AI4" s="82" t="s">
        <v>371</v>
      </c>
      <c r="AJ4" s="82" t="s">
        <v>372</v>
      </c>
      <c r="AK4" s="82" t="s">
        <v>359</v>
      </c>
      <c r="AL4" s="82" t="s">
        <v>371</v>
      </c>
      <c r="AM4" s="82" t="s">
        <v>372</v>
      </c>
      <c r="AN4" s="82" t="s">
        <v>359</v>
      </c>
      <c r="AO4" s="82" t="s">
        <v>371</v>
      </c>
      <c r="AP4" s="82" t="s">
        <v>372</v>
      </c>
      <c r="AQ4" s="82" t="s">
        <v>359</v>
      </c>
      <c r="AR4" s="82" t="s">
        <v>371</v>
      </c>
      <c r="AS4" s="82" t="s">
        <v>372</v>
      </c>
      <c r="AT4" s="82" t="s">
        <v>359</v>
      </c>
      <c r="AU4" s="82" t="s">
        <v>371</v>
      </c>
      <c r="AV4" s="82" t="s">
        <v>372</v>
      </c>
      <c r="AW4" s="82" t="s">
        <v>359</v>
      </c>
      <c r="AX4" s="82" t="s">
        <v>371</v>
      </c>
      <c r="AY4" s="82" t="s">
        <v>372</v>
      </c>
      <c r="AZ4" s="82" t="s">
        <v>359</v>
      </c>
      <c r="BA4" s="82" t="s">
        <v>371</v>
      </c>
      <c r="BB4" s="82" t="s">
        <v>372</v>
      </c>
      <c r="BC4" s="82" t="s">
        <v>359</v>
      </c>
      <c r="BD4" s="82" t="s">
        <v>371</v>
      </c>
      <c r="BE4" s="82" t="s">
        <v>372</v>
      </c>
      <c r="BF4" s="82" t="s">
        <v>359</v>
      </c>
      <c r="BG4" s="82" t="s">
        <v>371</v>
      </c>
      <c r="BH4" s="82" t="s">
        <v>372</v>
      </c>
      <c r="BI4" s="82" t="s">
        <v>359</v>
      </c>
      <c r="BJ4" s="82" t="s">
        <v>371</v>
      </c>
      <c r="BK4" s="82" t="s">
        <v>372</v>
      </c>
      <c r="BL4" s="82" t="s">
        <v>359</v>
      </c>
      <c r="BM4" s="82" t="s">
        <v>371</v>
      </c>
      <c r="BN4" s="82" t="s">
        <v>372</v>
      </c>
      <c r="BO4" s="82" t="s">
        <v>359</v>
      </c>
      <c r="BP4" s="82" t="s">
        <v>371</v>
      </c>
      <c r="BQ4" s="82" t="s">
        <v>372</v>
      </c>
      <c r="BR4" s="82" t="s">
        <v>359</v>
      </c>
      <c r="BS4" s="82" t="s">
        <v>371</v>
      </c>
      <c r="BT4" s="82" t="s">
        <v>372</v>
      </c>
      <c r="BU4" s="82" t="s">
        <v>359</v>
      </c>
      <c r="BV4" s="82" t="s">
        <v>371</v>
      </c>
      <c r="BW4" s="82" t="s">
        <v>372</v>
      </c>
      <c r="BX4" s="82" t="s">
        <v>359</v>
      </c>
      <c r="BY4" s="82" t="s">
        <v>371</v>
      </c>
      <c r="BZ4" s="82" t="s">
        <v>372</v>
      </c>
      <c r="CA4" s="82" t="s">
        <v>359</v>
      </c>
      <c r="CB4" s="82" t="s">
        <v>371</v>
      </c>
      <c r="CC4" s="82" t="s">
        <v>372</v>
      </c>
      <c r="CD4" s="82" t="s">
        <v>359</v>
      </c>
      <c r="CE4" s="82" t="s">
        <v>371</v>
      </c>
      <c r="CF4" s="82" t="s">
        <v>372</v>
      </c>
      <c r="CG4" s="82" t="s">
        <v>359</v>
      </c>
      <c r="CH4" s="82" t="s">
        <v>371</v>
      </c>
      <c r="CI4" s="82" t="s">
        <v>372</v>
      </c>
      <c r="CJ4" s="82" t="s">
        <v>359</v>
      </c>
      <c r="CK4" s="82" t="s">
        <v>371</v>
      </c>
      <c r="CL4" s="82" t="s">
        <v>372</v>
      </c>
      <c r="CM4" s="82" t="s">
        <v>359</v>
      </c>
      <c r="CN4" s="82" t="s">
        <v>371</v>
      </c>
      <c r="CO4" s="82" t="s">
        <v>372</v>
      </c>
      <c r="CP4" s="82" t="s">
        <v>359</v>
      </c>
      <c r="CQ4" s="82" t="s">
        <v>371</v>
      </c>
      <c r="CR4" s="82" t="s">
        <v>372</v>
      </c>
      <c r="CS4" s="82" t="s">
        <v>359</v>
      </c>
      <c r="CT4" s="82" t="s">
        <v>371</v>
      </c>
      <c r="CU4" s="82" t="s">
        <v>372</v>
      </c>
      <c r="CV4" s="82" t="s">
        <v>359</v>
      </c>
    </row>
    <row r="5" spans="1:100" x14ac:dyDescent="0.25">
      <c r="A5" s="21" t="s">
        <v>340</v>
      </c>
      <c r="B5" s="21">
        <v>2</v>
      </c>
      <c r="C5" s="21">
        <f>D5-B5</f>
        <v>363</v>
      </c>
      <c r="D5" s="21">
        <v>365</v>
      </c>
      <c r="E5" s="21"/>
      <c r="F5" s="21">
        <f>G5-E5</f>
        <v>4870</v>
      </c>
      <c r="G5" s="21">
        <v>4870</v>
      </c>
      <c r="H5" s="21"/>
      <c r="I5" s="21">
        <f>J5-H5</f>
        <v>4212070</v>
      </c>
      <c r="J5" s="21">
        <v>4212070</v>
      </c>
      <c r="K5" s="21"/>
      <c r="L5" s="21">
        <f>M5-K5</f>
        <v>26592</v>
      </c>
      <c r="M5" s="21">
        <v>26592</v>
      </c>
      <c r="N5" s="21">
        <v>49687</v>
      </c>
      <c r="O5" s="21">
        <f>P5-N5</f>
        <v>97780</v>
      </c>
      <c r="P5" s="21">
        <v>147467</v>
      </c>
      <c r="Q5" s="21">
        <v>13998</v>
      </c>
      <c r="R5" s="21">
        <f>S5-Q5</f>
        <v>16769</v>
      </c>
      <c r="S5" s="21">
        <v>30767</v>
      </c>
      <c r="T5" s="21">
        <v>26452</v>
      </c>
      <c r="U5" s="21">
        <f>V5-T5</f>
        <v>31930</v>
      </c>
      <c r="V5" s="21">
        <v>58382</v>
      </c>
      <c r="W5" s="21"/>
      <c r="X5" s="21">
        <f>Y5-W5</f>
        <v>3919</v>
      </c>
      <c r="Y5" s="21">
        <v>3919</v>
      </c>
      <c r="Z5" s="21"/>
      <c r="AA5" s="21">
        <f>AB5-Z5</f>
        <v>127</v>
      </c>
      <c r="AB5" s="21">
        <v>127</v>
      </c>
      <c r="AC5" s="21"/>
      <c r="AD5" s="21">
        <f>AE5-AC5</f>
        <v>13</v>
      </c>
      <c r="AE5" s="21">
        <v>13</v>
      </c>
      <c r="AF5" s="21"/>
      <c r="AG5" s="21">
        <f>AH5-AF5</f>
        <v>939</v>
      </c>
      <c r="AH5" s="21">
        <v>939</v>
      </c>
      <c r="AI5" s="21">
        <v>8697</v>
      </c>
      <c r="AJ5" s="21">
        <f>AK5-AI5</f>
        <v>23470</v>
      </c>
      <c r="AK5" s="21">
        <v>32167</v>
      </c>
      <c r="AL5" s="21">
        <v>76</v>
      </c>
      <c r="AM5" s="21">
        <f>AN5-AL5</f>
        <v>806</v>
      </c>
      <c r="AN5" s="39">
        <v>882</v>
      </c>
      <c r="AO5" s="21">
        <v>26964</v>
      </c>
      <c r="AP5" s="21">
        <f>AQ5-AO5</f>
        <v>71802</v>
      </c>
      <c r="AQ5" s="21">
        <v>98766</v>
      </c>
      <c r="AR5" s="21">
        <v>55613</v>
      </c>
      <c r="AS5" s="21">
        <f>AT5-AR5</f>
        <v>136117</v>
      </c>
      <c r="AT5" s="21">
        <v>191730</v>
      </c>
      <c r="AU5" s="39">
        <v>38490</v>
      </c>
      <c r="AV5" s="21">
        <f>AW5-AU5</f>
        <v>67644</v>
      </c>
      <c r="AW5" s="39">
        <v>106134</v>
      </c>
      <c r="AX5" s="21">
        <v>204</v>
      </c>
      <c r="AY5" s="21">
        <f>AZ5-AX5</f>
        <v>1523</v>
      </c>
      <c r="AZ5" s="21">
        <v>1727</v>
      </c>
      <c r="BA5" s="21">
        <v>2787</v>
      </c>
      <c r="BB5" s="21">
        <f>BC5-BA5</f>
        <v>7875</v>
      </c>
      <c r="BC5" s="21">
        <v>10662</v>
      </c>
      <c r="BD5" s="21">
        <v>5159</v>
      </c>
      <c r="BE5" s="21">
        <f>BF5-BD5</f>
        <v>2361</v>
      </c>
      <c r="BF5" s="21">
        <v>7520</v>
      </c>
      <c r="BG5" s="21"/>
      <c r="BH5" s="21">
        <f>BI5-BG5</f>
        <v>4380</v>
      </c>
      <c r="BI5" s="21">
        <v>4380</v>
      </c>
      <c r="BJ5" s="21">
        <v>141392</v>
      </c>
      <c r="BK5" s="21">
        <f>BL5-BJ5</f>
        <v>471700</v>
      </c>
      <c r="BL5" s="21">
        <v>613092</v>
      </c>
      <c r="BM5" s="21">
        <v>151626</v>
      </c>
      <c r="BN5" s="21">
        <f>BO5-BM5</f>
        <v>236623</v>
      </c>
      <c r="BO5" s="21">
        <v>388249</v>
      </c>
      <c r="BP5" s="21">
        <v>113693</v>
      </c>
      <c r="BQ5" s="21">
        <f>BR5-BP5</f>
        <v>246029</v>
      </c>
      <c r="BR5" s="39">
        <v>359722</v>
      </c>
      <c r="BS5" s="21">
        <v>199</v>
      </c>
      <c r="BT5" s="21">
        <f>BU5-BS5</f>
        <v>197</v>
      </c>
      <c r="BU5" s="21">
        <v>396</v>
      </c>
      <c r="BV5" s="21">
        <v>64423</v>
      </c>
      <c r="BW5" s="21">
        <f>BX5-BV5</f>
        <v>229187</v>
      </c>
      <c r="BX5" s="21">
        <v>293610</v>
      </c>
      <c r="BY5" s="21"/>
      <c r="BZ5" s="21">
        <f>CA5-BY5</f>
        <v>6375</v>
      </c>
      <c r="CA5" s="21">
        <v>6375</v>
      </c>
      <c r="CB5" s="21">
        <v>19092</v>
      </c>
      <c r="CC5" s="21">
        <f>CD5-CB5</f>
        <v>20750</v>
      </c>
      <c r="CD5" s="21">
        <v>39842</v>
      </c>
      <c r="CE5" s="21">
        <v>7040</v>
      </c>
      <c r="CF5" s="21">
        <f>CG5-CE5</f>
        <v>30627</v>
      </c>
      <c r="CG5" s="21">
        <v>37667</v>
      </c>
      <c r="CH5" s="21">
        <v>45244</v>
      </c>
      <c r="CI5" s="21">
        <f>CJ5-CH5</f>
        <v>17770</v>
      </c>
      <c r="CJ5" s="21">
        <v>63014</v>
      </c>
      <c r="CK5" s="21"/>
      <c r="CL5" s="21">
        <f>CM5-CK5</f>
        <v>59250</v>
      </c>
      <c r="CM5" s="21">
        <v>59250</v>
      </c>
      <c r="CN5" s="21">
        <v>16218</v>
      </c>
      <c r="CO5" s="21">
        <f>CP5-CN5</f>
        <v>50598</v>
      </c>
      <c r="CP5" s="21">
        <v>66816</v>
      </c>
      <c r="CQ5" s="21"/>
      <c r="CR5" s="21"/>
      <c r="CS5" s="21"/>
      <c r="CT5" s="21">
        <v>6263</v>
      </c>
      <c r="CU5" s="21">
        <f>CV5-CT5</f>
        <v>9579</v>
      </c>
      <c r="CV5" s="21">
        <v>15842</v>
      </c>
    </row>
    <row r="6" spans="1:100" x14ac:dyDescent="0.25">
      <c r="A6" s="21" t="s">
        <v>341</v>
      </c>
      <c r="B6" s="21">
        <v>2</v>
      </c>
      <c r="C6" s="21">
        <f t="shared" ref="C6:C13" si="0">D6-B6</f>
        <v>6014</v>
      </c>
      <c r="D6" s="21">
        <v>6016</v>
      </c>
      <c r="E6" s="21"/>
      <c r="F6" s="21">
        <f t="shared" ref="F6:F14" si="1">G6-E6</f>
        <v>16089</v>
      </c>
      <c r="G6" s="21">
        <v>16089</v>
      </c>
      <c r="H6" s="21"/>
      <c r="I6" s="21">
        <f t="shared" ref="I6:I14" si="2">J6-H6</f>
        <v>315086</v>
      </c>
      <c r="J6" s="21">
        <v>315086</v>
      </c>
      <c r="K6" s="21"/>
      <c r="L6" s="21">
        <f t="shared" ref="L6:L14" si="3">M6-K6</f>
        <v>85791</v>
      </c>
      <c r="M6" s="21">
        <f>229614-143823</f>
        <v>85791</v>
      </c>
      <c r="N6" s="21">
        <v>3181</v>
      </c>
      <c r="O6" s="21">
        <f t="shared" ref="O6:O14" si="4">P6-N6</f>
        <v>923092</v>
      </c>
      <c r="P6" s="21">
        <v>926273</v>
      </c>
      <c r="Q6" s="21">
        <v>936</v>
      </c>
      <c r="R6" s="21">
        <f t="shared" ref="R6:R14" si="5">S6-Q6</f>
        <v>58688</v>
      </c>
      <c r="S6" s="21">
        <v>59624</v>
      </c>
      <c r="T6" s="21">
        <v>4157</v>
      </c>
      <c r="U6" s="21">
        <f t="shared" ref="U6:U14" si="6">V6-T6</f>
        <v>52086</v>
      </c>
      <c r="V6" s="21">
        <v>56243</v>
      </c>
      <c r="W6" s="21"/>
      <c r="X6" s="21">
        <f t="shared" ref="X6:X14" si="7">Y6-W6</f>
        <v>43765</v>
      </c>
      <c r="Y6" s="21">
        <v>43765</v>
      </c>
      <c r="Z6" s="21">
        <v>3</v>
      </c>
      <c r="AA6" s="21">
        <f t="shared" ref="AA6:AA12" si="8">AB6-Z6</f>
        <v>980</v>
      </c>
      <c r="AB6" s="21">
        <v>983</v>
      </c>
      <c r="AC6" s="21"/>
      <c r="AD6" s="21">
        <f t="shared" ref="AD6:AD12" si="9">AE6-AC6</f>
        <v>196</v>
      </c>
      <c r="AE6" s="21">
        <v>196</v>
      </c>
      <c r="AF6" s="21"/>
      <c r="AG6" s="21">
        <f t="shared" ref="AG6:AG14" si="10">AH6-AF6</f>
        <v>535</v>
      </c>
      <c r="AH6" s="21">
        <v>535</v>
      </c>
      <c r="AI6" s="21">
        <v>990</v>
      </c>
      <c r="AJ6" s="21">
        <f t="shared" ref="AJ6:AJ14" si="11">AK6-AI6</f>
        <v>53778</v>
      </c>
      <c r="AK6" s="21">
        <v>54768</v>
      </c>
      <c r="AL6" s="21">
        <v>218</v>
      </c>
      <c r="AM6" s="21">
        <f t="shared" ref="AM6:AM13" si="12">AN6-AL6</f>
        <v>10444</v>
      </c>
      <c r="AN6" s="21">
        <v>10662</v>
      </c>
      <c r="AO6" s="21">
        <v>2562</v>
      </c>
      <c r="AP6" s="21">
        <f t="shared" ref="AP6:AP14" si="13">AQ6-AO6</f>
        <v>315738</v>
      </c>
      <c r="AQ6" s="21">
        <v>318300</v>
      </c>
      <c r="AR6" s="21">
        <v>5140</v>
      </c>
      <c r="AS6" s="21">
        <f t="shared" ref="AS6:AS14" si="14">AT6-AR6</f>
        <v>408252</v>
      </c>
      <c r="AT6" s="21">
        <v>413392</v>
      </c>
      <c r="AU6" s="21">
        <f>14048-9672</f>
        <v>4376</v>
      </c>
      <c r="AV6" s="21">
        <f t="shared" ref="AV6:AV14" si="15">AW6-AU6</f>
        <v>208558</v>
      </c>
      <c r="AW6" s="21">
        <f>633134-420200</f>
        <v>212934</v>
      </c>
      <c r="AX6" s="21">
        <v>80</v>
      </c>
      <c r="AY6" s="21">
        <f t="shared" ref="AY6:AY14" si="16">AZ6-AX6</f>
        <v>7371</v>
      </c>
      <c r="AZ6" s="21">
        <v>7451</v>
      </c>
      <c r="BA6" s="21">
        <v>473</v>
      </c>
      <c r="BB6" s="21">
        <f t="shared" ref="BB6:BB14" si="17">BC6-BA6</f>
        <v>38847</v>
      </c>
      <c r="BC6" s="21">
        <v>39320</v>
      </c>
      <c r="BD6" s="21">
        <v>609</v>
      </c>
      <c r="BE6" s="21">
        <f t="shared" ref="BE6:BE14" si="18">BF6-BD6</f>
        <v>9956</v>
      </c>
      <c r="BF6" s="21">
        <v>10565</v>
      </c>
      <c r="BG6" s="21"/>
      <c r="BH6" s="21">
        <f t="shared" ref="BH6:BH14" si="19">BI6-BG6</f>
        <v>24483</v>
      </c>
      <c r="BI6" s="21">
        <v>24483</v>
      </c>
      <c r="BJ6" s="21">
        <v>14330</v>
      </c>
      <c r="BK6" s="21">
        <f t="shared" ref="BK6:BK8" si="20">BL6-BJ6</f>
        <v>656217</v>
      </c>
      <c r="BL6" s="21">
        <v>670547</v>
      </c>
      <c r="BM6" s="21">
        <v>16651</v>
      </c>
      <c r="BN6" s="21">
        <f t="shared" ref="BN6:BN8" si="21">BO6-BM6</f>
        <v>1373912</v>
      </c>
      <c r="BO6" s="21">
        <v>1390563</v>
      </c>
      <c r="BP6" s="21">
        <v>16828</v>
      </c>
      <c r="BQ6" s="21">
        <f t="shared" ref="BQ6:BQ14" si="22">BR6-BP6</f>
        <v>431380</v>
      </c>
      <c r="BR6" s="39">
        <v>448208</v>
      </c>
      <c r="BS6" s="21">
        <v>79</v>
      </c>
      <c r="BT6" s="21">
        <f t="shared" ref="BT6:BT7" si="23">BU6-BS6</f>
        <v>48</v>
      </c>
      <c r="BU6" s="21">
        <v>127</v>
      </c>
      <c r="BV6" s="21">
        <v>4882</v>
      </c>
      <c r="BW6" s="21">
        <f t="shared" ref="BW6:BW14" si="24">BX6-BV6</f>
        <v>362937</v>
      </c>
      <c r="BX6" s="21">
        <v>367819</v>
      </c>
      <c r="BY6" s="21"/>
      <c r="BZ6" s="21">
        <f t="shared" ref="BZ6:BZ13" si="25">CA6-BY6</f>
        <v>202163</v>
      </c>
      <c r="CA6" s="21">
        <v>202163</v>
      </c>
      <c r="CB6" s="21">
        <v>2334</v>
      </c>
      <c r="CC6" s="21">
        <f t="shared" ref="CC6:CC14" si="26">CD6-CB6</f>
        <v>99762</v>
      </c>
      <c r="CD6" s="21">
        <v>102096</v>
      </c>
      <c r="CE6" s="21">
        <v>811</v>
      </c>
      <c r="CF6" s="21">
        <f t="shared" ref="CF6:CF15" si="27">CG6-CE6</f>
        <v>63429</v>
      </c>
      <c r="CG6" s="21">
        <v>64240</v>
      </c>
      <c r="CH6" s="21">
        <v>3980</v>
      </c>
      <c r="CI6" s="21">
        <f t="shared" ref="CI6:CI14" si="28">CJ6-CH6</f>
        <v>46836</v>
      </c>
      <c r="CJ6" s="21">
        <v>50816</v>
      </c>
      <c r="CK6" s="21"/>
      <c r="CL6" s="21">
        <f t="shared" ref="CL6:CL14" si="29">CM6-CK6</f>
        <v>217896</v>
      </c>
      <c r="CM6" s="21">
        <v>217896</v>
      </c>
      <c r="CN6" s="21">
        <v>2470</v>
      </c>
      <c r="CO6" s="21">
        <f t="shared" ref="CO6:CO14" si="30">CP6-CN6</f>
        <v>268148</v>
      </c>
      <c r="CP6" s="21">
        <v>270618</v>
      </c>
      <c r="CQ6" s="21"/>
      <c r="CR6" s="21"/>
      <c r="CS6" s="21"/>
      <c r="CT6" s="21">
        <f>2110-1403</f>
        <v>707</v>
      </c>
      <c r="CU6" s="21">
        <f t="shared" ref="CU6:CU7" si="31">CV6-CT6</f>
        <v>39241</v>
      </c>
      <c r="CV6" s="21">
        <f>119127-79179</f>
        <v>39948</v>
      </c>
    </row>
    <row r="7" spans="1:100" x14ac:dyDescent="0.25">
      <c r="A7" s="21" t="s">
        <v>342</v>
      </c>
      <c r="B7" s="21"/>
      <c r="C7" s="21">
        <f t="shared" si="0"/>
        <v>3312</v>
      </c>
      <c r="D7" s="21">
        <v>3312</v>
      </c>
      <c r="E7" s="21"/>
      <c r="F7" s="21">
        <f t="shared" si="1"/>
        <v>13329</v>
      </c>
      <c r="G7" s="21">
        <v>13329</v>
      </c>
      <c r="H7" s="21"/>
      <c r="I7" s="21">
        <f t="shared" si="2"/>
        <v>799545</v>
      </c>
      <c r="J7" s="21">
        <v>799545</v>
      </c>
      <c r="K7" s="21"/>
      <c r="L7" s="21">
        <f t="shared" si="3"/>
        <v>80838</v>
      </c>
      <c r="M7" s="21">
        <f>204914-124076</f>
        <v>80838</v>
      </c>
      <c r="N7" s="21">
        <v>2185</v>
      </c>
      <c r="O7" s="21">
        <f t="shared" si="4"/>
        <v>875290</v>
      </c>
      <c r="P7" s="21">
        <v>877475</v>
      </c>
      <c r="Q7" s="21">
        <v>1314</v>
      </c>
      <c r="R7" s="21">
        <f t="shared" si="5"/>
        <v>51329</v>
      </c>
      <c r="S7" s="21">
        <v>52643</v>
      </c>
      <c r="T7" s="21">
        <v>2760</v>
      </c>
      <c r="U7" s="21">
        <f t="shared" si="6"/>
        <v>44143</v>
      </c>
      <c r="V7" s="21">
        <v>46903</v>
      </c>
      <c r="W7" s="21"/>
      <c r="X7" s="21">
        <f t="shared" si="7"/>
        <v>39451</v>
      </c>
      <c r="Y7" s="21">
        <v>39451</v>
      </c>
      <c r="Z7" s="21"/>
      <c r="AA7" s="21">
        <f t="shared" si="8"/>
        <v>654</v>
      </c>
      <c r="AB7" s="21">
        <v>654</v>
      </c>
      <c r="AC7" s="21"/>
      <c r="AD7" s="21">
        <f t="shared" si="9"/>
        <v>149</v>
      </c>
      <c r="AE7" s="21">
        <v>149</v>
      </c>
      <c r="AF7" s="21"/>
      <c r="AG7" s="21">
        <f t="shared" si="10"/>
        <v>197</v>
      </c>
      <c r="AH7" s="21">
        <v>197</v>
      </c>
      <c r="AI7" s="21">
        <v>1499</v>
      </c>
      <c r="AJ7" s="21">
        <f t="shared" si="11"/>
        <v>48516</v>
      </c>
      <c r="AK7" s="21">
        <v>50015</v>
      </c>
      <c r="AL7" s="21">
        <v>122</v>
      </c>
      <c r="AM7" s="21">
        <f t="shared" si="12"/>
        <v>8273</v>
      </c>
      <c r="AN7" s="21">
        <v>8395</v>
      </c>
      <c r="AO7" s="21">
        <v>2010</v>
      </c>
      <c r="AP7" s="21">
        <f t="shared" si="13"/>
        <v>318251</v>
      </c>
      <c r="AQ7" s="21">
        <v>320261</v>
      </c>
      <c r="AR7" s="21">
        <v>4425</v>
      </c>
      <c r="AS7" s="21">
        <f t="shared" si="14"/>
        <v>363023</v>
      </c>
      <c r="AT7" s="21">
        <v>367448</v>
      </c>
      <c r="AU7" s="21">
        <f>15096-9794</f>
        <v>5302</v>
      </c>
      <c r="AV7" s="21">
        <f t="shared" si="15"/>
        <v>215763</v>
      </c>
      <c r="AW7" s="21">
        <f>630751-409686</f>
        <v>221065</v>
      </c>
      <c r="AX7" s="21">
        <v>12</v>
      </c>
      <c r="AY7" s="21">
        <f t="shared" si="16"/>
        <v>6031</v>
      </c>
      <c r="AZ7" s="21">
        <v>6043</v>
      </c>
      <c r="BA7" s="21">
        <v>132</v>
      </c>
      <c r="BB7" s="21">
        <f t="shared" si="17"/>
        <v>34631</v>
      </c>
      <c r="BC7" s="21">
        <v>34763</v>
      </c>
      <c r="BD7" s="21">
        <v>373</v>
      </c>
      <c r="BE7" s="21">
        <f t="shared" si="18"/>
        <v>7757</v>
      </c>
      <c r="BF7" s="21">
        <v>8130</v>
      </c>
      <c r="BG7" s="21"/>
      <c r="BH7" s="21">
        <f t="shared" si="19"/>
        <v>21113</v>
      </c>
      <c r="BI7" s="21">
        <v>21113</v>
      </c>
      <c r="BJ7" s="21">
        <v>14452</v>
      </c>
      <c r="BK7" s="21">
        <f t="shared" si="20"/>
        <v>673092</v>
      </c>
      <c r="BL7" s="21">
        <v>687544</v>
      </c>
      <c r="BM7" s="21">
        <v>15056</v>
      </c>
      <c r="BN7" s="21">
        <f t="shared" si="21"/>
        <v>1373482</v>
      </c>
      <c r="BO7" s="21">
        <v>1388538</v>
      </c>
      <c r="BP7" s="21">
        <v>22865</v>
      </c>
      <c r="BQ7" s="21">
        <f t="shared" si="22"/>
        <v>437317</v>
      </c>
      <c r="BR7" s="39">
        <v>460182</v>
      </c>
      <c r="BS7" s="21">
        <v>30</v>
      </c>
      <c r="BT7" s="21">
        <f t="shared" si="23"/>
        <v>19</v>
      </c>
      <c r="BU7" s="21">
        <v>49</v>
      </c>
      <c r="BV7" s="21">
        <v>3210</v>
      </c>
      <c r="BW7" s="21">
        <f t="shared" si="24"/>
        <v>325206</v>
      </c>
      <c r="BX7" s="21">
        <v>328416</v>
      </c>
      <c r="BY7" s="21"/>
      <c r="BZ7" s="21">
        <f t="shared" si="25"/>
        <v>189848</v>
      </c>
      <c r="CA7" s="21">
        <v>189848</v>
      </c>
      <c r="CB7" s="21">
        <v>1918</v>
      </c>
      <c r="CC7" s="21">
        <f t="shared" si="26"/>
        <v>86241</v>
      </c>
      <c r="CD7" s="21">
        <v>88159</v>
      </c>
      <c r="CE7" s="21">
        <v>670</v>
      </c>
      <c r="CF7" s="21">
        <f t="shared" si="27"/>
        <v>56297</v>
      </c>
      <c r="CG7" s="21">
        <v>56967</v>
      </c>
      <c r="CH7" s="21">
        <v>3164</v>
      </c>
      <c r="CI7" s="21">
        <f t="shared" si="28"/>
        <v>36755</v>
      </c>
      <c r="CJ7" s="21">
        <v>39919</v>
      </c>
      <c r="CK7" s="21"/>
      <c r="CL7" s="21">
        <f t="shared" si="29"/>
        <v>191445</v>
      </c>
      <c r="CM7" s="21">
        <v>191445</v>
      </c>
      <c r="CN7" s="21">
        <v>1481</v>
      </c>
      <c r="CO7" s="21">
        <f t="shared" si="30"/>
        <v>246662</v>
      </c>
      <c r="CP7" s="21">
        <v>248143</v>
      </c>
      <c r="CQ7" s="21"/>
      <c r="CR7" s="21"/>
      <c r="CS7" s="21"/>
      <c r="CT7" s="21">
        <f>890-629</f>
        <v>261</v>
      </c>
      <c r="CU7" s="21">
        <f t="shared" si="31"/>
        <v>36305</v>
      </c>
      <c r="CV7" s="21">
        <f>101597-65031</f>
        <v>36566</v>
      </c>
    </row>
    <row r="8" spans="1:100" x14ac:dyDescent="0.25">
      <c r="A8" s="21" t="s">
        <v>343</v>
      </c>
      <c r="B8" s="21"/>
      <c r="C8" s="21">
        <f t="shared" si="0"/>
        <v>13</v>
      </c>
      <c r="D8" s="21">
        <v>13</v>
      </c>
      <c r="E8" s="21"/>
      <c r="F8" s="21">
        <f t="shared" si="1"/>
        <v>3389</v>
      </c>
      <c r="G8" s="21">
        <v>3389</v>
      </c>
      <c r="H8" s="21"/>
      <c r="I8" s="21">
        <f t="shared" si="2"/>
        <v>1661</v>
      </c>
      <c r="J8" s="21">
        <v>1661</v>
      </c>
      <c r="K8" s="21"/>
      <c r="L8" s="21">
        <f t="shared" si="3"/>
        <v>8758</v>
      </c>
      <c r="M8" s="21">
        <f>24103-15345</f>
        <v>8758</v>
      </c>
      <c r="N8" s="21">
        <v>413</v>
      </c>
      <c r="O8" s="21">
        <f t="shared" si="4"/>
        <v>11561</v>
      </c>
      <c r="P8" s="21">
        <v>11974</v>
      </c>
      <c r="Q8" s="21"/>
      <c r="R8" s="21">
        <f t="shared" si="5"/>
        <v>1774</v>
      </c>
      <c r="S8" s="21">
        <v>1774</v>
      </c>
      <c r="T8" s="21"/>
      <c r="U8" s="21">
        <f t="shared" si="6"/>
        <v>3738</v>
      </c>
      <c r="V8" s="21">
        <v>3738</v>
      </c>
      <c r="W8" s="21"/>
      <c r="X8" s="21">
        <f t="shared" si="7"/>
        <v>4241</v>
      </c>
      <c r="Y8" s="21">
        <v>4241</v>
      </c>
      <c r="Z8" s="21"/>
      <c r="AA8" s="21"/>
      <c r="AB8" s="21"/>
      <c r="AC8" s="21"/>
      <c r="AD8" s="21">
        <f t="shared" si="9"/>
        <v>1</v>
      </c>
      <c r="AE8" s="21">
        <v>1</v>
      </c>
      <c r="AF8" s="21"/>
      <c r="AG8" s="21">
        <f t="shared" si="10"/>
        <v>404</v>
      </c>
      <c r="AH8" s="21">
        <v>404</v>
      </c>
      <c r="AI8" s="21"/>
      <c r="AJ8" s="21">
        <f t="shared" si="11"/>
        <v>2846</v>
      </c>
      <c r="AK8" s="21">
        <v>2846</v>
      </c>
      <c r="AL8" s="21">
        <v>2</v>
      </c>
      <c r="AM8" s="21">
        <f t="shared" si="12"/>
        <v>89</v>
      </c>
      <c r="AN8" s="21">
        <v>91</v>
      </c>
      <c r="AO8" s="21">
        <v>517</v>
      </c>
      <c r="AP8" s="21">
        <f t="shared" si="13"/>
        <v>4442</v>
      </c>
      <c r="AQ8" s="21">
        <v>4959</v>
      </c>
      <c r="AR8" s="21">
        <v>818</v>
      </c>
      <c r="AS8" s="21">
        <f t="shared" si="14"/>
        <v>20979</v>
      </c>
      <c r="AT8" s="21">
        <v>21797</v>
      </c>
      <c r="AU8" s="21">
        <v>0</v>
      </c>
      <c r="AV8" s="21">
        <f t="shared" si="15"/>
        <v>6030</v>
      </c>
      <c r="AW8" s="21">
        <f>28222-22192</f>
        <v>6030</v>
      </c>
      <c r="AX8" s="21"/>
      <c r="AY8" s="21">
        <f t="shared" si="16"/>
        <v>535</v>
      </c>
      <c r="AZ8" s="21">
        <v>535</v>
      </c>
      <c r="BA8" s="21"/>
      <c r="BB8" s="21">
        <f t="shared" si="17"/>
        <v>1803</v>
      </c>
      <c r="BC8" s="21">
        <v>1803</v>
      </c>
      <c r="BD8" s="21"/>
      <c r="BE8" s="21">
        <f t="shared" si="18"/>
        <v>343</v>
      </c>
      <c r="BF8" s="21">
        <v>343</v>
      </c>
      <c r="BG8" s="21"/>
      <c r="BH8" s="21">
        <f t="shared" si="19"/>
        <v>3041</v>
      </c>
      <c r="BI8" s="21">
        <v>3041</v>
      </c>
      <c r="BJ8" s="21">
        <v>1742</v>
      </c>
      <c r="BK8" s="21">
        <f t="shared" si="20"/>
        <v>44892</v>
      </c>
      <c r="BL8" s="21">
        <v>46634</v>
      </c>
      <c r="BM8" s="21">
        <v>135</v>
      </c>
      <c r="BN8" s="21">
        <f t="shared" si="21"/>
        <v>27029</v>
      </c>
      <c r="BO8" s="21">
        <v>27164</v>
      </c>
      <c r="BP8" s="21">
        <v>1770</v>
      </c>
      <c r="BQ8" s="21">
        <f t="shared" si="22"/>
        <v>44507</v>
      </c>
      <c r="BR8" s="39">
        <v>46277</v>
      </c>
      <c r="BS8" s="21"/>
      <c r="BT8" s="21"/>
      <c r="BU8" s="21"/>
      <c r="BV8" s="21">
        <v>49</v>
      </c>
      <c r="BW8" s="21">
        <f t="shared" si="24"/>
        <v>40042</v>
      </c>
      <c r="BX8" s="21">
        <v>40091</v>
      </c>
      <c r="BY8" s="21"/>
      <c r="BZ8" s="21">
        <f t="shared" si="25"/>
        <v>10104</v>
      </c>
      <c r="CA8" s="21">
        <v>10104</v>
      </c>
      <c r="CB8" s="21"/>
      <c r="CC8" s="21">
        <f t="shared" si="26"/>
        <v>2262</v>
      </c>
      <c r="CD8" s="21">
        <v>2262</v>
      </c>
      <c r="CE8" s="21">
        <v>2</v>
      </c>
      <c r="CF8" s="21">
        <f t="shared" si="27"/>
        <v>1477</v>
      </c>
      <c r="CG8" s="21">
        <v>1479</v>
      </c>
      <c r="CH8" s="21">
        <v>593</v>
      </c>
      <c r="CI8" s="21">
        <f t="shared" si="28"/>
        <v>1187</v>
      </c>
      <c r="CJ8" s="21">
        <v>1780</v>
      </c>
      <c r="CK8" s="21"/>
      <c r="CL8" s="21">
        <f t="shared" si="29"/>
        <v>15228</v>
      </c>
      <c r="CM8" s="21">
        <v>15228</v>
      </c>
      <c r="CN8" s="21"/>
      <c r="CO8" s="21">
        <f t="shared" si="30"/>
        <v>2639</v>
      </c>
      <c r="CP8" s="21">
        <v>2639</v>
      </c>
      <c r="CQ8" s="21"/>
      <c r="CR8" s="21"/>
      <c r="CS8" s="21"/>
      <c r="CT8" s="21"/>
      <c r="CU8" s="21"/>
      <c r="CV8" s="21">
        <f>3740-2524</f>
        <v>1216</v>
      </c>
    </row>
    <row r="9" spans="1:100" x14ac:dyDescent="0.25">
      <c r="A9" s="21" t="s">
        <v>344</v>
      </c>
      <c r="B9" s="21"/>
      <c r="C9" s="21">
        <f t="shared" si="0"/>
        <v>1145</v>
      </c>
      <c r="D9" s="21">
        <v>1145</v>
      </c>
      <c r="E9" s="21"/>
      <c r="F9" s="21">
        <f t="shared" si="1"/>
        <v>0</v>
      </c>
      <c r="G9" s="21"/>
      <c r="H9" s="21"/>
      <c r="I9" s="21">
        <f t="shared" si="2"/>
        <v>1156</v>
      </c>
      <c r="J9" s="21">
        <v>1156</v>
      </c>
      <c r="K9" s="21"/>
      <c r="L9" s="21"/>
      <c r="M9" s="21"/>
      <c r="N9" s="21">
        <v>64</v>
      </c>
      <c r="O9" s="21">
        <f t="shared" si="4"/>
        <v>22902</v>
      </c>
      <c r="P9" s="21">
        <v>22966</v>
      </c>
      <c r="Q9" s="21"/>
      <c r="R9" s="21">
        <f t="shared" si="5"/>
        <v>3089</v>
      </c>
      <c r="S9" s="21">
        <v>3089</v>
      </c>
      <c r="T9" s="21">
        <v>546</v>
      </c>
      <c r="U9" s="21">
        <f t="shared" si="6"/>
        <v>2073</v>
      </c>
      <c r="V9" s="21">
        <v>2619</v>
      </c>
      <c r="W9" s="21"/>
      <c r="X9" s="21"/>
      <c r="Y9" s="21"/>
      <c r="Z9" s="21">
        <v>3</v>
      </c>
      <c r="AA9" s="21">
        <f t="shared" si="8"/>
        <v>60</v>
      </c>
      <c r="AB9" s="21">
        <v>63</v>
      </c>
      <c r="AC9" s="21"/>
      <c r="AD9" s="21"/>
      <c r="AE9" s="21"/>
      <c r="AF9" s="21"/>
      <c r="AG9" s="21"/>
      <c r="AH9" s="21"/>
      <c r="AI9" s="21">
        <v>43</v>
      </c>
      <c r="AJ9" s="21">
        <f t="shared" si="11"/>
        <v>3701</v>
      </c>
      <c r="AK9" s="21">
        <v>3744</v>
      </c>
      <c r="AL9" s="21">
        <v>21</v>
      </c>
      <c r="AM9" s="21">
        <f t="shared" si="12"/>
        <v>1292</v>
      </c>
      <c r="AN9" s="21">
        <v>1313</v>
      </c>
      <c r="AO9" s="21">
        <v>502</v>
      </c>
      <c r="AP9" s="21">
        <f t="shared" si="13"/>
        <v>14471</v>
      </c>
      <c r="AQ9" s="21">
        <v>14973</v>
      </c>
      <c r="AR9" s="21">
        <v>1523</v>
      </c>
      <c r="AS9" s="21">
        <f t="shared" si="14"/>
        <v>19373</v>
      </c>
      <c r="AT9" s="21">
        <v>20896</v>
      </c>
      <c r="AU9" s="21">
        <f>825-560</f>
        <v>265</v>
      </c>
      <c r="AV9" s="21">
        <f t="shared" si="15"/>
        <v>10141</v>
      </c>
      <c r="AW9" s="21">
        <f>30573-20167</f>
        <v>10406</v>
      </c>
      <c r="AX9" s="21"/>
      <c r="AY9" s="21">
        <f t="shared" si="16"/>
        <v>763</v>
      </c>
      <c r="AZ9" s="21">
        <v>763</v>
      </c>
      <c r="BA9" s="21">
        <v>27</v>
      </c>
      <c r="BB9" s="21">
        <f t="shared" si="17"/>
        <v>2477</v>
      </c>
      <c r="BC9" s="21">
        <v>2504</v>
      </c>
      <c r="BD9" s="21">
        <v>69</v>
      </c>
      <c r="BE9" s="21">
        <f t="shared" si="18"/>
        <v>1172</v>
      </c>
      <c r="BF9" s="21">
        <v>1241</v>
      </c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>
        <v>1323</v>
      </c>
      <c r="BW9" s="21">
        <f t="shared" si="24"/>
        <v>10652</v>
      </c>
      <c r="BX9" s="21">
        <v>11975</v>
      </c>
      <c r="BY9" s="21"/>
      <c r="BZ9" s="21"/>
      <c r="CA9" s="21"/>
      <c r="CB9" s="21">
        <v>282</v>
      </c>
      <c r="CC9" s="21">
        <f t="shared" si="26"/>
        <v>3123</v>
      </c>
      <c r="CD9" s="21">
        <v>3405</v>
      </c>
      <c r="CE9" s="21">
        <v>213</v>
      </c>
      <c r="CF9" s="21">
        <f t="shared" si="27"/>
        <v>7740</v>
      </c>
      <c r="CG9" s="21">
        <v>7953</v>
      </c>
      <c r="CH9" s="21">
        <v>249</v>
      </c>
      <c r="CI9" s="21">
        <f t="shared" si="28"/>
        <v>12439</v>
      </c>
      <c r="CJ9" s="21">
        <v>12688</v>
      </c>
      <c r="CK9" s="21"/>
      <c r="CL9" s="21">
        <f t="shared" si="29"/>
        <v>16436</v>
      </c>
      <c r="CM9" s="21">
        <v>16436</v>
      </c>
      <c r="CN9" s="21">
        <v>465</v>
      </c>
      <c r="CO9" s="21">
        <f t="shared" si="30"/>
        <v>21930</v>
      </c>
      <c r="CP9" s="21">
        <v>22395</v>
      </c>
      <c r="CQ9" s="21"/>
      <c r="CR9" s="21"/>
      <c r="CS9" s="21"/>
      <c r="CT9" s="21">
        <f>365-253</f>
        <v>112</v>
      </c>
      <c r="CU9" s="21">
        <f t="shared" ref="CU9:CU14" si="32">CV9-CT9</f>
        <v>3238</v>
      </c>
      <c r="CV9" s="21">
        <f>8816-5466</f>
        <v>3350</v>
      </c>
    </row>
    <row r="10" spans="1:100" x14ac:dyDescent="0.25">
      <c r="A10" s="21" t="s">
        <v>345</v>
      </c>
      <c r="B10" s="21">
        <v>4</v>
      </c>
      <c r="C10" s="21">
        <f t="shared" si="0"/>
        <v>2748</v>
      </c>
      <c r="D10" s="21">
        <v>2752</v>
      </c>
      <c r="E10" s="21"/>
      <c r="F10" s="21">
        <f t="shared" si="1"/>
        <v>4241</v>
      </c>
      <c r="G10" s="21">
        <v>4241</v>
      </c>
      <c r="H10" s="21"/>
      <c r="I10" s="21">
        <f t="shared" si="2"/>
        <v>3724794</v>
      </c>
      <c r="J10" s="21">
        <v>3724794</v>
      </c>
      <c r="K10" s="21"/>
      <c r="L10" s="21">
        <f t="shared" si="3"/>
        <v>22787</v>
      </c>
      <c r="M10" s="21">
        <v>22787</v>
      </c>
      <c r="N10" s="21">
        <v>50206</v>
      </c>
      <c r="O10" s="21">
        <f t="shared" si="4"/>
        <v>111121</v>
      </c>
      <c r="P10" s="21">
        <v>161327</v>
      </c>
      <c r="Q10" s="21">
        <v>13620</v>
      </c>
      <c r="R10" s="21">
        <f t="shared" si="5"/>
        <v>19265</v>
      </c>
      <c r="S10" s="21">
        <v>32885</v>
      </c>
      <c r="T10" s="21">
        <v>27303</v>
      </c>
      <c r="U10" s="21">
        <f t="shared" si="6"/>
        <v>34062</v>
      </c>
      <c r="V10" s="21">
        <v>61365</v>
      </c>
      <c r="W10" s="21"/>
      <c r="X10" s="21">
        <f t="shared" si="7"/>
        <v>3991</v>
      </c>
      <c r="Y10" s="21">
        <v>3991</v>
      </c>
      <c r="Z10" s="21"/>
      <c r="AA10" s="21">
        <f t="shared" si="8"/>
        <v>393</v>
      </c>
      <c r="AB10" s="21">
        <v>393</v>
      </c>
      <c r="AC10" s="21"/>
      <c r="AD10" s="21">
        <f t="shared" si="9"/>
        <v>59</v>
      </c>
      <c r="AE10" s="21">
        <v>59</v>
      </c>
      <c r="AF10" s="21"/>
      <c r="AG10" s="21">
        <f t="shared" si="10"/>
        <v>884</v>
      </c>
      <c r="AH10" s="21">
        <v>884</v>
      </c>
      <c r="AI10" s="21">
        <v>8041</v>
      </c>
      <c r="AJ10" s="21">
        <f t="shared" si="11"/>
        <v>24231</v>
      </c>
      <c r="AK10" s="21">
        <v>32272</v>
      </c>
      <c r="AL10" s="21">
        <v>149</v>
      </c>
      <c r="AM10" s="21">
        <f t="shared" si="12"/>
        <v>1596</v>
      </c>
      <c r="AN10" s="21">
        <v>1745</v>
      </c>
      <c r="AO10" s="21">
        <v>26497</v>
      </c>
      <c r="AP10" s="21">
        <f t="shared" si="13"/>
        <v>50376</v>
      </c>
      <c r="AQ10" s="21">
        <v>76873</v>
      </c>
      <c r="AR10" s="21">
        <v>53987</v>
      </c>
      <c r="AS10" s="21">
        <f t="shared" si="14"/>
        <v>140994</v>
      </c>
      <c r="AT10" s="21">
        <v>194981</v>
      </c>
      <c r="AU10" s="21">
        <v>37914</v>
      </c>
      <c r="AV10" s="21">
        <f t="shared" si="15"/>
        <v>60928</v>
      </c>
      <c r="AW10" s="21">
        <v>98842</v>
      </c>
      <c r="AX10" s="21">
        <v>272</v>
      </c>
      <c r="AY10" s="21">
        <f t="shared" si="16"/>
        <v>1565</v>
      </c>
      <c r="AZ10" s="21">
        <v>1837</v>
      </c>
      <c r="BA10" s="21">
        <v>3101</v>
      </c>
      <c r="BB10" s="21">
        <f t="shared" si="17"/>
        <v>7811</v>
      </c>
      <c r="BC10" s="21">
        <v>10912</v>
      </c>
      <c r="BD10" s="21">
        <v>5326</v>
      </c>
      <c r="BE10" s="21">
        <f t="shared" si="18"/>
        <v>3045</v>
      </c>
      <c r="BF10" s="21">
        <v>8371</v>
      </c>
      <c r="BG10" s="21"/>
      <c r="BH10" s="21">
        <f t="shared" si="19"/>
        <v>4709</v>
      </c>
      <c r="BI10" s="21">
        <v>4709</v>
      </c>
      <c r="BJ10" s="21">
        <v>139528</v>
      </c>
      <c r="BK10" s="21">
        <f>BL10-BJ10</f>
        <v>409933</v>
      </c>
      <c r="BL10" s="21">
        <v>549461</v>
      </c>
      <c r="BM10" s="21">
        <v>153086</v>
      </c>
      <c r="BN10" s="21">
        <f t="shared" ref="BN10:BN14" si="33">BO10-BM10</f>
        <v>210024</v>
      </c>
      <c r="BO10" s="21">
        <v>363110</v>
      </c>
      <c r="BP10" s="21">
        <v>107656</v>
      </c>
      <c r="BQ10" s="21">
        <f t="shared" si="22"/>
        <v>240092</v>
      </c>
      <c r="BR10" s="39">
        <v>347748</v>
      </c>
      <c r="BS10" s="21">
        <v>249</v>
      </c>
      <c r="BT10" s="21">
        <f t="shared" ref="BT10:BT14" si="34">BU10-BS10</f>
        <v>198</v>
      </c>
      <c r="BU10" s="21">
        <v>447</v>
      </c>
      <c r="BV10" s="21">
        <v>64723</v>
      </c>
      <c r="BW10" s="21">
        <f t="shared" si="24"/>
        <v>216224</v>
      </c>
      <c r="BX10" s="21">
        <v>280947</v>
      </c>
      <c r="BY10" s="21"/>
      <c r="BZ10" s="21">
        <f t="shared" si="25"/>
        <v>8586</v>
      </c>
      <c r="CA10" s="21">
        <v>8586</v>
      </c>
      <c r="CB10" s="21">
        <v>19576</v>
      </c>
      <c r="CC10" s="21">
        <f t="shared" si="26"/>
        <v>27303</v>
      </c>
      <c r="CD10" s="21">
        <v>46879</v>
      </c>
      <c r="CE10" s="21">
        <v>6966</v>
      </c>
      <c r="CF10" s="21">
        <f t="shared" si="27"/>
        <v>28542</v>
      </c>
      <c r="CG10" s="21">
        <v>35508</v>
      </c>
      <c r="CH10" s="21">
        <v>45218</v>
      </c>
      <c r="CI10" s="21">
        <f t="shared" si="28"/>
        <v>14225</v>
      </c>
      <c r="CJ10" s="21">
        <v>59443</v>
      </c>
      <c r="CK10" s="21"/>
      <c r="CL10" s="21">
        <f t="shared" si="29"/>
        <v>54037</v>
      </c>
      <c r="CM10" s="21">
        <v>54037</v>
      </c>
      <c r="CN10" s="21">
        <v>16742</v>
      </c>
      <c r="CO10" s="21">
        <f t="shared" si="30"/>
        <v>47515</v>
      </c>
      <c r="CP10" s="21">
        <v>64257</v>
      </c>
      <c r="CQ10" s="21"/>
      <c r="CR10" s="21"/>
      <c r="CS10" s="21"/>
      <c r="CT10" s="21">
        <v>6597</v>
      </c>
      <c r="CU10" s="21">
        <f t="shared" si="32"/>
        <v>8061</v>
      </c>
      <c r="CV10" s="21">
        <v>14658</v>
      </c>
    </row>
    <row r="11" spans="1:100" x14ac:dyDescent="0.25">
      <c r="A11" s="21" t="s">
        <v>350</v>
      </c>
      <c r="B11" s="21">
        <v>4</v>
      </c>
      <c r="C11" s="21">
        <f t="shared" si="0"/>
        <v>2686</v>
      </c>
      <c r="D11" s="21">
        <v>2690</v>
      </c>
      <c r="E11" s="21"/>
      <c r="F11" s="21">
        <f t="shared" si="1"/>
        <v>3910</v>
      </c>
      <c r="G11" s="21">
        <v>3910</v>
      </c>
      <c r="H11" s="21"/>
      <c r="I11" s="21">
        <f t="shared" si="2"/>
        <v>1038340</v>
      </c>
      <c r="J11" s="21">
        <v>1038340</v>
      </c>
      <c r="K11" s="21"/>
      <c r="L11" s="21">
        <f t="shared" si="3"/>
        <v>21184</v>
      </c>
      <c r="M11" s="21">
        <v>21184</v>
      </c>
      <c r="N11" s="21">
        <v>29303</v>
      </c>
      <c r="O11" s="21">
        <f t="shared" si="4"/>
        <v>81060</v>
      </c>
      <c r="P11" s="21">
        <v>110363</v>
      </c>
      <c r="Q11" s="21">
        <v>828</v>
      </c>
      <c r="R11" s="21">
        <f t="shared" si="5"/>
        <v>14640</v>
      </c>
      <c r="S11" s="21">
        <v>15468</v>
      </c>
      <c r="T11" s="21">
        <v>3614</v>
      </c>
      <c r="U11" s="21">
        <f t="shared" si="6"/>
        <v>15102</v>
      </c>
      <c r="V11" s="21">
        <v>18716</v>
      </c>
      <c r="W11" s="21"/>
      <c r="X11" s="21">
        <f t="shared" si="7"/>
        <v>3669</v>
      </c>
      <c r="Y11" s="21">
        <v>3669</v>
      </c>
      <c r="Z11" s="21"/>
      <c r="AA11" s="21">
        <f t="shared" si="8"/>
        <v>377</v>
      </c>
      <c r="AB11" s="21">
        <v>377</v>
      </c>
      <c r="AC11" s="21"/>
      <c r="AD11" s="21">
        <f t="shared" si="9"/>
        <v>50</v>
      </c>
      <c r="AE11" s="21">
        <v>50</v>
      </c>
      <c r="AF11" s="21"/>
      <c r="AG11" s="21">
        <f t="shared" si="10"/>
        <v>418</v>
      </c>
      <c r="AH11" s="21">
        <v>418</v>
      </c>
      <c r="AI11" s="21">
        <v>662</v>
      </c>
      <c r="AJ11" s="21">
        <f t="shared" si="11"/>
        <v>10662</v>
      </c>
      <c r="AK11" s="21">
        <v>11324</v>
      </c>
      <c r="AL11" s="21">
        <v>105</v>
      </c>
      <c r="AM11" s="21">
        <f t="shared" si="12"/>
        <v>1539</v>
      </c>
      <c r="AN11" s="21">
        <v>1644</v>
      </c>
      <c r="AO11" s="21">
        <v>2242</v>
      </c>
      <c r="AP11" s="21">
        <f t="shared" si="13"/>
        <v>39079</v>
      </c>
      <c r="AQ11" s="21">
        <v>41321</v>
      </c>
      <c r="AR11" s="21">
        <v>4368</v>
      </c>
      <c r="AS11" s="21">
        <f t="shared" si="14"/>
        <v>122907</v>
      </c>
      <c r="AT11" s="21">
        <v>127275</v>
      </c>
      <c r="AU11" s="21">
        <v>3296</v>
      </c>
      <c r="AV11" s="21">
        <f t="shared" si="15"/>
        <v>39777</v>
      </c>
      <c r="AW11" s="21">
        <v>43073</v>
      </c>
      <c r="AX11" s="21">
        <v>79</v>
      </c>
      <c r="AY11" s="21">
        <f t="shared" si="16"/>
        <v>1291</v>
      </c>
      <c r="AZ11" s="21">
        <v>1370</v>
      </c>
      <c r="BA11" s="21">
        <v>457</v>
      </c>
      <c r="BB11" s="21">
        <f t="shared" si="17"/>
        <v>6463</v>
      </c>
      <c r="BC11" s="21">
        <v>6920</v>
      </c>
      <c r="BD11" s="21">
        <v>596</v>
      </c>
      <c r="BE11" s="21">
        <f t="shared" si="18"/>
        <v>2288</v>
      </c>
      <c r="BF11" s="21">
        <v>2884</v>
      </c>
      <c r="BG11" s="21"/>
      <c r="BH11" s="21">
        <f t="shared" si="19"/>
        <v>4004</v>
      </c>
      <c r="BI11" s="21">
        <v>4004</v>
      </c>
      <c r="BJ11" s="21">
        <v>3894</v>
      </c>
      <c r="BK11" s="21">
        <f t="shared" ref="BK11:BK14" si="35">BL11-BJ11</f>
        <v>185376</v>
      </c>
      <c r="BL11" s="21">
        <v>189270</v>
      </c>
      <c r="BM11" s="21">
        <f>4278+1106</f>
        <v>5384</v>
      </c>
      <c r="BN11" s="21">
        <f t="shared" si="33"/>
        <v>149283</v>
      </c>
      <c r="BO11" s="21">
        <f>61834+92833</f>
        <v>154667</v>
      </c>
      <c r="BP11" s="21">
        <v>3588</v>
      </c>
      <c r="BQ11" s="21">
        <f t="shared" si="22"/>
        <v>191512</v>
      </c>
      <c r="BR11" s="39">
        <v>195100</v>
      </c>
      <c r="BS11" s="21">
        <v>54</v>
      </c>
      <c r="BT11" s="21">
        <f t="shared" si="34"/>
        <v>39</v>
      </c>
      <c r="BU11" s="21">
        <v>93</v>
      </c>
      <c r="BV11" s="21">
        <v>3428</v>
      </c>
      <c r="BW11" s="21">
        <f t="shared" si="24"/>
        <v>195485</v>
      </c>
      <c r="BX11" s="21">
        <v>198913</v>
      </c>
      <c r="BY11" s="21"/>
      <c r="BZ11" s="21">
        <f t="shared" si="25"/>
        <v>5956</v>
      </c>
      <c r="CA11" s="21">
        <v>5956</v>
      </c>
      <c r="CB11" s="21">
        <v>1814</v>
      </c>
      <c r="CC11" s="21">
        <f t="shared" si="26"/>
        <v>21389</v>
      </c>
      <c r="CD11" s="21">
        <v>23203</v>
      </c>
      <c r="CE11" s="21">
        <v>668</v>
      </c>
      <c r="CF11" s="21">
        <f t="shared" si="27"/>
        <v>20644</v>
      </c>
      <c r="CG11" s="21">
        <v>21312</v>
      </c>
      <c r="CH11" s="21">
        <v>3287</v>
      </c>
      <c r="CI11" s="21">
        <f t="shared" si="28"/>
        <v>9001</v>
      </c>
      <c r="CJ11" s="21">
        <v>12288</v>
      </c>
      <c r="CK11" s="21"/>
      <c r="CL11" s="21">
        <f t="shared" si="29"/>
        <v>47794</v>
      </c>
      <c r="CM11" s="21">
        <v>47794</v>
      </c>
      <c r="CN11" s="21">
        <v>1687</v>
      </c>
      <c r="CO11" s="21">
        <f t="shared" si="30"/>
        <v>31836</v>
      </c>
      <c r="CP11" s="21">
        <v>33523</v>
      </c>
      <c r="CQ11" s="21"/>
      <c r="CR11" s="21"/>
      <c r="CS11" s="21"/>
      <c r="CT11" s="21">
        <v>686</v>
      </c>
      <c r="CU11" s="21">
        <f t="shared" si="32"/>
        <v>7188</v>
      </c>
      <c r="CV11" s="21">
        <v>7874</v>
      </c>
    </row>
    <row r="12" spans="1:100" x14ac:dyDescent="0.25">
      <c r="A12" s="21" t="s">
        <v>346</v>
      </c>
      <c r="B12" s="21"/>
      <c r="C12" s="21">
        <f t="shared" si="0"/>
        <v>54</v>
      </c>
      <c r="D12" s="21">
        <v>54</v>
      </c>
      <c r="E12" s="21"/>
      <c r="F12" s="21">
        <f t="shared" si="1"/>
        <v>230</v>
      </c>
      <c r="G12" s="21">
        <v>230</v>
      </c>
      <c r="H12" s="21"/>
      <c r="I12" s="21">
        <f t="shared" si="2"/>
        <v>390649</v>
      </c>
      <c r="J12" s="21">
        <v>390649</v>
      </c>
      <c r="K12" s="21"/>
      <c r="L12" s="21">
        <f t="shared" si="3"/>
        <v>381</v>
      </c>
      <c r="M12" s="21">
        <v>381</v>
      </c>
      <c r="N12" s="21">
        <v>2594</v>
      </c>
      <c r="O12" s="21">
        <f t="shared" si="4"/>
        <v>14196</v>
      </c>
      <c r="P12" s="21">
        <v>16790</v>
      </c>
      <c r="Q12" s="21">
        <v>733</v>
      </c>
      <c r="R12" s="21">
        <f t="shared" si="5"/>
        <v>1903</v>
      </c>
      <c r="S12" s="21">
        <v>2636</v>
      </c>
      <c r="T12" s="21">
        <v>3016</v>
      </c>
      <c r="U12" s="21">
        <f t="shared" si="6"/>
        <v>2190</v>
      </c>
      <c r="V12" s="21">
        <v>5206</v>
      </c>
      <c r="W12" s="21"/>
      <c r="X12" s="21">
        <f t="shared" si="7"/>
        <v>164</v>
      </c>
      <c r="Y12" s="21">
        <v>164</v>
      </c>
      <c r="Z12" s="21"/>
      <c r="AA12" s="21">
        <f t="shared" si="8"/>
        <v>16</v>
      </c>
      <c r="AB12" s="21">
        <v>16</v>
      </c>
      <c r="AC12" s="21"/>
      <c r="AD12" s="21">
        <f t="shared" si="9"/>
        <v>9</v>
      </c>
      <c r="AE12" s="21">
        <v>9</v>
      </c>
      <c r="AF12" s="21"/>
      <c r="AG12" s="21">
        <f t="shared" si="10"/>
        <v>225</v>
      </c>
      <c r="AH12" s="21">
        <v>225</v>
      </c>
      <c r="AI12" s="21">
        <v>585</v>
      </c>
      <c r="AJ12" s="21">
        <f t="shared" si="11"/>
        <v>2172</v>
      </c>
      <c r="AK12" s="21">
        <v>2757</v>
      </c>
      <c r="AL12" s="21">
        <v>44</v>
      </c>
      <c r="AM12" s="21">
        <f t="shared" si="12"/>
        <v>38</v>
      </c>
      <c r="AN12" s="21">
        <v>82</v>
      </c>
      <c r="AO12" s="21">
        <v>1930</v>
      </c>
      <c r="AP12" s="21">
        <f t="shared" si="13"/>
        <v>7002</v>
      </c>
      <c r="AQ12" s="21">
        <v>8932</v>
      </c>
      <c r="AR12" s="21">
        <v>3593</v>
      </c>
      <c r="AS12" s="21">
        <f t="shared" si="14"/>
        <v>5497</v>
      </c>
      <c r="AT12" s="21">
        <v>9090</v>
      </c>
      <c r="AU12" s="21">
        <v>3615</v>
      </c>
      <c r="AV12" s="21">
        <f t="shared" si="15"/>
        <v>10966</v>
      </c>
      <c r="AW12" s="21">
        <v>14581</v>
      </c>
      <c r="AX12" s="21">
        <v>39</v>
      </c>
      <c r="AY12" s="21">
        <f t="shared" si="16"/>
        <v>122</v>
      </c>
      <c r="AZ12" s="21">
        <v>161</v>
      </c>
      <c r="BA12" s="21">
        <v>428</v>
      </c>
      <c r="BB12" s="21">
        <f t="shared" si="17"/>
        <v>555</v>
      </c>
      <c r="BC12" s="21">
        <v>983</v>
      </c>
      <c r="BD12" s="21">
        <v>574</v>
      </c>
      <c r="BE12" s="21">
        <f t="shared" si="18"/>
        <v>278</v>
      </c>
      <c r="BF12" s="21">
        <v>852</v>
      </c>
      <c r="BG12" s="21"/>
      <c r="BH12" s="21">
        <f t="shared" si="19"/>
        <v>389</v>
      </c>
      <c r="BI12" s="21">
        <v>389</v>
      </c>
      <c r="BJ12" s="21">
        <v>4790</v>
      </c>
      <c r="BK12" s="21">
        <f t="shared" si="35"/>
        <v>67678</v>
      </c>
      <c r="BL12" s="21">
        <v>72468</v>
      </c>
      <c r="BM12" s="21">
        <v>8809</v>
      </c>
      <c r="BN12" s="21">
        <f t="shared" si="33"/>
        <v>29939</v>
      </c>
      <c r="BO12" s="21">
        <v>38748</v>
      </c>
      <c r="BP12" s="21">
        <v>9983</v>
      </c>
      <c r="BQ12" s="21">
        <f t="shared" si="22"/>
        <v>24983</v>
      </c>
      <c r="BR12" s="39">
        <v>34966</v>
      </c>
      <c r="BS12" s="21">
        <v>46</v>
      </c>
      <c r="BT12" s="21">
        <f t="shared" si="34"/>
        <v>28</v>
      </c>
      <c r="BU12" s="21">
        <v>74</v>
      </c>
      <c r="BV12" s="21">
        <v>3152</v>
      </c>
      <c r="BW12" s="21">
        <f t="shared" si="24"/>
        <v>5904</v>
      </c>
      <c r="BX12" s="21">
        <v>9056</v>
      </c>
      <c r="BY12" s="21"/>
      <c r="BZ12" s="21">
        <f t="shared" si="25"/>
        <v>1662</v>
      </c>
      <c r="CA12" s="21">
        <v>1662</v>
      </c>
      <c r="CB12" s="21">
        <v>1847</v>
      </c>
      <c r="CC12" s="21">
        <f t="shared" si="26"/>
        <v>2933</v>
      </c>
      <c r="CD12" s="21">
        <v>4780</v>
      </c>
      <c r="CE12" s="21">
        <v>551</v>
      </c>
      <c r="CF12" s="21">
        <f t="shared" si="27"/>
        <v>4290</v>
      </c>
      <c r="CG12" s="21">
        <v>4841</v>
      </c>
      <c r="CH12" s="21">
        <v>3015</v>
      </c>
      <c r="CI12" s="21">
        <f t="shared" si="28"/>
        <v>2483</v>
      </c>
      <c r="CJ12" s="21">
        <v>5498</v>
      </c>
      <c r="CK12" s="21"/>
      <c r="CL12" s="21">
        <f t="shared" si="29"/>
        <v>2888</v>
      </c>
      <c r="CM12" s="21">
        <v>2888</v>
      </c>
      <c r="CN12" s="21">
        <v>1561</v>
      </c>
      <c r="CO12" s="21">
        <f t="shared" si="30"/>
        <v>7941</v>
      </c>
      <c r="CP12" s="21">
        <v>9502</v>
      </c>
      <c r="CQ12" s="21"/>
      <c r="CR12" s="21"/>
      <c r="CS12" s="21"/>
      <c r="CT12" s="21">
        <v>590</v>
      </c>
      <c r="CU12" s="21">
        <f t="shared" si="32"/>
        <v>544</v>
      </c>
      <c r="CV12" s="21">
        <v>1134</v>
      </c>
    </row>
    <row r="13" spans="1:100" x14ac:dyDescent="0.25">
      <c r="A13" s="21" t="s">
        <v>347</v>
      </c>
      <c r="B13" s="21"/>
      <c r="C13" s="21">
        <f t="shared" si="0"/>
        <v>8</v>
      </c>
      <c r="D13" s="21">
        <v>8</v>
      </c>
      <c r="E13" s="21"/>
      <c r="F13" s="21">
        <f t="shared" si="1"/>
        <v>95</v>
      </c>
      <c r="G13" s="21">
        <v>95</v>
      </c>
      <c r="H13" s="21"/>
      <c r="I13" s="21">
        <f t="shared" si="2"/>
        <v>700098</v>
      </c>
      <c r="J13" s="21">
        <v>700098</v>
      </c>
      <c r="K13" s="21"/>
      <c r="L13" s="21">
        <f t="shared" si="3"/>
        <v>242</v>
      </c>
      <c r="M13" s="21">
        <v>242</v>
      </c>
      <c r="N13" s="21">
        <v>4879</v>
      </c>
      <c r="O13" s="21">
        <f t="shared" si="4"/>
        <v>4414</v>
      </c>
      <c r="P13" s="21">
        <v>9293</v>
      </c>
      <c r="Q13" s="21">
        <v>1470</v>
      </c>
      <c r="R13" s="21">
        <f t="shared" si="5"/>
        <v>941</v>
      </c>
      <c r="S13" s="21">
        <v>2411</v>
      </c>
      <c r="T13" s="21">
        <v>4742</v>
      </c>
      <c r="U13" s="21">
        <f t="shared" si="6"/>
        <v>1362</v>
      </c>
      <c r="V13" s="21">
        <v>6104</v>
      </c>
      <c r="W13" s="21"/>
      <c r="X13" s="21">
        <f t="shared" si="7"/>
        <v>146</v>
      </c>
      <c r="Y13" s="21">
        <v>146</v>
      </c>
      <c r="Z13" s="21"/>
      <c r="AA13" s="21"/>
      <c r="AB13" s="21"/>
      <c r="AC13" s="21"/>
      <c r="AD13" s="21"/>
      <c r="AE13" s="21"/>
      <c r="AF13" s="21"/>
      <c r="AG13" s="21">
        <f t="shared" si="10"/>
        <v>240</v>
      </c>
      <c r="AH13" s="21">
        <v>240</v>
      </c>
      <c r="AI13" s="21">
        <v>1260</v>
      </c>
      <c r="AJ13" s="21">
        <f t="shared" si="11"/>
        <v>4958</v>
      </c>
      <c r="AK13" s="21">
        <v>6218</v>
      </c>
      <c r="AL13" s="21"/>
      <c r="AM13" s="21">
        <f t="shared" si="12"/>
        <v>19</v>
      </c>
      <c r="AN13" s="21">
        <v>19</v>
      </c>
      <c r="AO13" s="21">
        <v>3868</v>
      </c>
      <c r="AP13" s="21">
        <f t="shared" si="13"/>
        <v>3015</v>
      </c>
      <c r="AQ13" s="21">
        <v>6883</v>
      </c>
      <c r="AR13" s="21">
        <v>5836</v>
      </c>
      <c r="AS13" s="21">
        <f t="shared" si="14"/>
        <v>3725</v>
      </c>
      <c r="AT13" s="21">
        <v>9561</v>
      </c>
      <c r="AU13" s="21">
        <v>6080</v>
      </c>
      <c r="AV13" s="21">
        <f t="shared" si="15"/>
        <v>5638</v>
      </c>
      <c r="AW13" s="21">
        <v>11718</v>
      </c>
      <c r="AX13" s="21">
        <v>78</v>
      </c>
      <c r="AY13" s="21">
        <f t="shared" si="16"/>
        <v>117</v>
      </c>
      <c r="AZ13" s="21">
        <v>195</v>
      </c>
      <c r="BA13" s="21">
        <v>735</v>
      </c>
      <c r="BB13" s="21">
        <f t="shared" si="17"/>
        <v>372</v>
      </c>
      <c r="BC13" s="21">
        <v>1107</v>
      </c>
      <c r="BD13" s="21">
        <v>1029</v>
      </c>
      <c r="BE13" s="21">
        <f t="shared" si="18"/>
        <v>153</v>
      </c>
      <c r="BF13" s="21">
        <v>1182</v>
      </c>
      <c r="BG13" s="21"/>
      <c r="BH13" s="21">
        <f t="shared" si="19"/>
        <v>314</v>
      </c>
      <c r="BI13" s="21">
        <v>314</v>
      </c>
      <c r="BJ13" s="21">
        <v>14626</v>
      </c>
      <c r="BK13" s="21">
        <f t="shared" si="35"/>
        <v>87207</v>
      </c>
      <c r="BL13" s="21">
        <v>101833</v>
      </c>
      <c r="BM13" s="21">
        <v>18756</v>
      </c>
      <c r="BN13" s="21">
        <f t="shared" si="33"/>
        <v>16609</v>
      </c>
      <c r="BO13" s="21">
        <v>35365</v>
      </c>
      <c r="BP13" s="21">
        <v>18570</v>
      </c>
      <c r="BQ13" s="21">
        <f t="shared" si="22"/>
        <v>11730</v>
      </c>
      <c r="BR13" s="39">
        <v>30300</v>
      </c>
      <c r="BS13" s="21">
        <v>76</v>
      </c>
      <c r="BT13" s="21">
        <f t="shared" si="34"/>
        <v>76</v>
      </c>
      <c r="BU13" s="21">
        <v>152</v>
      </c>
      <c r="BV13" s="21">
        <v>5874</v>
      </c>
      <c r="BW13" s="21">
        <f t="shared" si="24"/>
        <v>7230</v>
      </c>
      <c r="BX13" s="21">
        <v>13104</v>
      </c>
      <c r="BY13" s="21"/>
      <c r="BZ13" s="21">
        <f t="shared" si="25"/>
        <v>968</v>
      </c>
      <c r="CA13" s="21">
        <v>968</v>
      </c>
      <c r="CB13" s="21">
        <v>2787</v>
      </c>
      <c r="CC13" s="21">
        <f t="shared" si="26"/>
        <v>1441</v>
      </c>
      <c r="CD13" s="21">
        <v>4228</v>
      </c>
      <c r="CE13" s="21">
        <v>895</v>
      </c>
      <c r="CF13" s="21">
        <f t="shared" si="27"/>
        <v>1799</v>
      </c>
      <c r="CG13" s="21">
        <v>2694</v>
      </c>
      <c r="CH13" s="21">
        <v>5877</v>
      </c>
      <c r="CI13" s="21">
        <f t="shared" si="28"/>
        <v>367</v>
      </c>
      <c r="CJ13" s="21">
        <v>6244</v>
      </c>
      <c r="CK13" s="21"/>
      <c r="CL13" s="21">
        <f t="shared" si="29"/>
        <v>2335</v>
      </c>
      <c r="CM13" s="21">
        <v>2335</v>
      </c>
      <c r="CN13" s="21">
        <v>2806</v>
      </c>
      <c r="CO13" s="21">
        <f t="shared" si="30"/>
        <v>4774</v>
      </c>
      <c r="CP13" s="21">
        <v>7580</v>
      </c>
      <c r="CQ13" s="21"/>
      <c r="CR13" s="21"/>
      <c r="CS13" s="21"/>
      <c r="CT13" s="21">
        <v>1067</v>
      </c>
      <c r="CU13" s="21">
        <f t="shared" si="32"/>
        <v>98</v>
      </c>
      <c r="CV13" s="21">
        <v>1165</v>
      </c>
    </row>
    <row r="14" spans="1:100" x14ac:dyDescent="0.25">
      <c r="A14" s="21" t="s">
        <v>348</v>
      </c>
      <c r="B14" s="21"/>
      <c r="C14" s="21"/>
      <c r="D14" s="21"/>
      <c r="E14" s="21"/>
      <c r="F14" s="21">
        <f t="shared" si="1"/>
        <v>6</v>
      </c>
      <c r="G14" s="21">
        <v>6</v>
      </c>
      <c r="H14" s="21"/>
      <c r="I14" s="21">
        <f t="shared" si="2"/>
        <v>1595707</v>
      </c>
      <c r="J14" s="21">
        <v>1595707</v>
      </c>
      <c r="K14" s="21"/>
      <c r="L14" s="21">
        <f t="shared" si="3"/>
        <v>980</v>
      </c>
      <c r="M14" s="21">
        <v>980</v>
      </c>
      <c r="N14" s="21">
        <v>13430</v>
      </c>
      <c r="O14" s="21">
        <f t="shared" si="4"/>
        <v>11451</v>
      </c>
      <c r="P14" s="21">
        <v>24881</v>
      </c>
      <c r="Q14" s="21">
        <v>10589</v>
      </c>
      <c r="R14" s="21">
        <f t="shared" si="5"/>
        <v>1781</v>
      </c>
      <c r="S14" s="21">
        <v>12370</v>
      </c>
      <c r="T14" s="21">
        <v>15931</v>
      </c>
      <c r="U14" s="21">
        <f t="shared" si="6"/>
        <v>15408</v>
      </c>
      <c r="V14" s="21">
        <v>31339</v>
      </c>
      <c r="W14" s="21"/>
      <c r="X14" s="21">
        <f t="shared" si="7"/>
        <v>12</v>
      </c>
      <c r="Y14" s="21">
        <v>12</v>
      </c>
      <c r="Z14" s="21"/>
      <c r="AA14" s="21"/>
      <c r="AB14" s="21"/>
      <c r="AC14" s="21"/>
      <c r="AD14" s="21"/>
      <c r="AE14" s="21"/>
      <c r="AF14" s="21"/>
      <c r="AG14" s="21">
        <f t="shared" si="10"/>
        <v>1</v>
      </c>
      <c r="AH14" s="21">
        <v>1</v>
      </c>
      <c r="AI14" s="21">
        <v>5534</v>
      </c>
      <c r="AJ14" s="21">
        <f t="shared" si="11"/>
        <v>6439</v>
      </c>
      <c r="AK14" s="21">
        <v>11973</v>
      </c>
      <c r="AL14" s="21"/>
      <c r="AM14" s="21"/>
      <c r="AN14" s="21"/>
      <c r="AO14" s="21">
        <v>18457</v>
      </c>
      <c r="AP14" s="21">
        <f t="shared" si="13"/>
        <v>1280</v>
      </c>
      <c r="AQ14" s="21">
        <v>19737</v>
      </c>
      <c r="AR14" s="21">
        <v>40190</v>
      </c>
      <c r="AS14" s="21">
        <f t="shared" si="14"/>
        <v>8865</v>
      </c>
      <c r="AT14" s="21">
        <v>49055</v>
      </c>
      <c r="AU14" s="21">
        <v>24923</v>
      </c>
      <c r="AV14" s="21">
        <f t="shared" si="15"/>
        <v>4547</v>
      </c>
      <c r="AW14" s="21">
        <v>29470</v>
      </c>
      <c r="AX14" s="21">
        <v>76</v>
      </c>
      <c r="AY14" s="21">
        <f t="shared" si="16"/>
        <v>35</v>
      </c>
      <c r="AZ14" s="21">
        <v>111</v>
      </c>
      <c r="BA14" s="21">
        <v>1481</v>
      </c>
      <c r="BB14" s="21">
        <f t="shared" si="17"/>
        <v>421</v>
      </c>
      <c r="BC14" s="21">
        <v>1902</v>
      </c>
      <c r="BD14" s="21">
        <v>3127</v>
      </c>
      <c r="BE14" s="21">
        <f t="shared" si="18"/>
        <v>326</v>
      </c>
      <c r="BF14" s="21">
        <v>3453</v>
      </c>
      <c r="BG14" s="21"/>
      <c r="BH14" s="21">
        <f t="shared" si="19"/>
        <v>2</v>
      </c>
      <c r="BI14" s="21">
        <v>2</v>
      </c>
      <c r="BJ14" s="21">
        <v>116218</v>
      </c>
      <c r="BK14" s="21">
        <f t="shared" si="35"/>
        <v>69672</v>
      </c>
      <c r="BL14" s="21">
        <v>185890</v>
      </c>
      <c r="BM14" s="21">
        <v>120137</v>
      </c>
      <c r="BN14" s="21">
        <f t="shared" si="33"/>
        <v>14193</v>
      </c>
      <c r="BO14" s="21">
        <v>134330</v>
      </c>
      <c r="BP14" s="21">
        <v>75515</v>
      </c>
      <c r="BQ14" s="21">
        <f t="shared" si="22"/>
        <v>11867</v>
      </c>
      <c r="BR14" s="39">
        <v>87382</v>
      </c>
      <c r="BS14" s="21">
        <v>73</v>
      </c>
      <c r="BT14" s="21">
        <f t="shared" si="34"/>
        <v>55</v>
      </c>
      <c r="BU14" s="21">
        <v>128</v>
      </c>
      <c r="BV14" s="21">
        <v>52269</v>
      </c>
      <c r="BW14" s="21">
        <f t="shared" si="24"/>
        <v>7605</v>
      </c>
      <c r="BX14" s="21">
        <v>59874</v>
      </c>
      <c r="BY14" s="21"/>
      <c r="BZ14" s="21"/>
      <c r="CA14" s="21"/>
      <c r="CB14" s="21">
        <v>13128</v>
      </c>
      <c r="CC14" s="21">
        <f t="shared" si="26"/>
        <v>1540</v>
      </c>
      <c r="CD14" s="21">
        <v>14668</v>
      </c>
      <c r="CE14" s="21">
        <v>2973</v>
      </c>
      <c r="CF14" s="21">
        <f t="shared" si="27"/>
        <v>992</v>
      </c>
      <c r="CG14" s="21">
        <v>3965</v>
      </c>
      <c r="CH14" s="21">
        <v>33039</v>
      </c>
      <c r="CI14" s="21">
        <f t="shared" si="28"/>
        <v>2374</v>
      </c>
      <c r="CJ14" s="21">
        <v>35413</v>
      </c>
      <c r="CK14" s="21"/>
      <c r="CL14" s="21">
        <f t="shared" si="29"/>
        <v>1020</v>
      </c>
      <c r="CM14" s="21">
        <v>1020</v>
      </c>
      <c r="CN14" s="21">
        <v>10688</v>
      </c>
      <c r="CO14" s="21">
        <f t="shared" si="30"/>
        <v>2964</v>
      </c>
      <c r="CP14" s="21">
        <v>13652</v>
      </c>
      <c r="CQ14" s="21"/>
      <c r="CR14" s="21"/>
      <c r="CS14" s="21"/>
      <c r="CT14" s="21">
        <v>4257</v>
      </c>
      <c r="CU14" s="21">
        <f t="shared" si="32"/>
        <v>228</v>
      </c>
      <c r="CV14" s="21">
        <v>4485</v>
      </c>
    </row>
    <row r="15" spans="1:100" x14ac:dyDescent="0.25">
      <c r="A15" s="21" t="s">
        <v>351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>
        <v>1879</v>
      </c>
      <c r="CF15" s="21">
        <f t="shared" si="27"/>
        <v>817</v>
      </c>
      <c r="CG15" s="21">
        <v>2696</v>
      </c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</row>
  </sheetData>
  <mergeCells count="33">
    <mergeCell ref="CN3:CP3"/>
    <mergeCell ref="CQ3:CS3"/>
    <mergeCell ref="CT3:CV3"/>
    <mergeCell ref="BV3:BX3"/>
    <mergeCell ref="BY3:CA3"/>
    <mergeCell ref="CB3:CD3"/>
    <mergeCell ref="CE3:CG3"/>
    <mergeCell ref="CH3:CJ3"/>
    <mergeCell ref="CK3:CM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1" style="2" customWidth="1"/>
    <col min="2" max="67" width="14.140625" customWidth="1"/>
  </cols>
  <sheetData>
    <row r="1" spans="1:67" ht="18.75" x14ac:dyDescent="0.3">
      <c r="A1" s="32" t="s">
        <v>214</v>
      </c>
    </row>
    <row r="3" spans="1:67" s="33" customFormat="1" x14ac:dyDescent="0.25">
      <c r="A3" s="34" t="s">
        <v>0</v>
      </c>
      <c r="B3" s="121" t="s">
        <v>1</v>
      </c>
      <c r="C3" s="121"/>
      <c r="D3" s="121" t="s">
        <v>2</v>
      </c>
      <c r="E3" s="121"/>
      <c r="F3" s="121" t="s">
        <v>3</v>
      </c>
      <c r="G3" s="121"/>
      <c r="H3" s="121" t="s">
        <v>4</v>
      </c>
      <c r="I3" s="121"/>
      <c r="J3" s="121" t="s">
        <v>5</v>
      </c>
      <c r="K3" s="121"/>
      <c r="L3" s="121" t="s">
        <v>6</v>
      </c>
      <c r="M3" s="121"/>
      <c r="N3" s="121" t="s">
        <v>7</v>
      </c>
      <c r="O3" s="121"/>
      <c r="P3" s="121" t="s">
        <v>8</v>
      </c>
      <c r="Q3" s="121"/>
      <c r="R3" s="121" t="s">
        <v>9</v>
      </c>
      <c r="S3" s="121"/>
      <c r="T3" s="121" t="s">
        <v>10</v>
      </c>
      <c r="U3" s="121"/>
      <c r="V3" s="121" t="s">
        <v>11</v>
      </c>
      <c r="W3" s="121"/>
      <c r="X3" s="121" t="s">
        <v>12</v>
      </c>
      <c r="Y3" s="121"/>
      <c r="Z3" s="121" t="s">
        <v>13</v>
      </c>
      <c r="AA3" s="121"/>
      <c r="AB3" s="121" t="s">
        <v>14</v>
      </c>
      <c r="AC3" s="121"/>
      <c r="AD3" s="121" t="s">
        <v>15</v>
      </c>
      <c r="AE3" s="121"/>
      <c r="AF3" s="121" t="s">
        <v>16</v>
      </c>
      <c r="AG3" s="121"/>
      <c r="AH3" s="121" t="s">
        <v>17</v>
      </c>
      <c r="AI3" s="121"/>
      <c r="AJ3" s="121" t="s">
        <v>18</v>
      </c>
      <c r="AK3" s="121"/>
      <c r="AL3" s="121" t="s">
        <v>19</v>
      </c>
      <c r="AM3" s="121"/>
      <c r="AN3" s="121" t="s">
        <v>20</v>
      </c>
      <c r="AO3" s="121"/>
      <c r="AP3" s="121" t="s">
        <v>21</v>
      </c>
      <c r="AQ3" s="121"/>
      <c r="AR3" s="121" t="s">
        <v>161</v>
      </c>
      <c r="AS3" s="121"/>
      <c r="AT3" s="121" t="s">
        <v>162</v>
      </c>
      <c r="AU3" s="121"/>
      <c r="AV3" s="121" t="s">
        <v>22</v>
      </c>
      <c r="AW3" s="121"/>
      <c r="AX3" s="121" t="s">
        <v>23</v>
      </c>
      <c r="AY3" s="121"/>
      <c r="AZ3" s="121" t="s">
        <v>24</v>
      </c>
      <c r="BA3" s="121"/>
      <c r="BB3" s="121" t="s">
        <v>25</v>
      </c>
      <c r="BC3" s="121"/>
      <c r="BD3" s="121" t="s">
        <v>26</v>
      </c>
      <c r="BE3" s="121"/>
      <c r="BF3" s="121" t="s">
        <v>27</v>
      </c>
      <c r="BG3" s="121"/>
      <c r="BH3" s="121" t="s">
        <v>28</v>
      </c>
      <c r="BI3" s="121"/>
      <c r="BJ3" s="121" t="s">
        <v>29</v>
      </c>
      <c r="BK3" s="121"/>
      <c r="BL3" s="121" t="s">
        <v>30</v>
      </c>
      <c r="BM3" s="121"/>
      <c r="BN3" s="121" t="s">
        <v>31</v>
      </c>
      <c r="BO3" s="121"/>
    </row>
    <row r="4" spans="1:67" s="64" customFormat="1" ht="30" x14ac:dyDescent="0.25">
      <c r="A4" s="63"/>
      <c r="B4" s="63" t="s">
        <v>286</v>
      </c>
      <c r="C4" s="63" t="s">
        <v>287</v>
      </c>
      <c r="D4" s="63" t="s">
        <v>286</v>
      </c>
      <c r="E4" s="63" t="s">
        <v>287</v>
      </c>
      <c r="F4" s="63" t="s">
        <v>286</v>
      </c>
      <c r="G4" s="63" t="s">
        <v>287</v>
      </c>
      <c r="H4" s="63" t="s">
        <v>286</v>
      </c>
      <c r="I4" s="63" t="s">
        <v>287</v>
      </c>
      <c r="J4" s="63" t="s">
        <v>286</v>
      </c>
      <c r="K4" s="63" t="s">
        <v>287</v>
      </c>
      <c r="L4" s="63" t="s">
        <v>286</v>
      </c>
      <c r="M4" s="63" t="s">
        <v>287</v>
      </c>
      <c r="N4" s="63" t="s">
        <v>286</v>
      </c>
      <c r="O4" s="63" t="s">
        <v>287</v>
      </c>
      <c r="P4" s="63" t="s">
        <v>286</v>
      </c>
      <c r="Q4" s="63" t="s">
        <v>287</v>
      </c>
      <c r="R4" s="63" t="s">
        <v>286</v>
      </c>
      <c r="S4" s="63" t="s">
        <v>287</v>
      </c>
      <c r="T4" s="63" t="s">
        <v>286</v>
      </c>
      <c r="U4" s="63" t="s">
        <v>287</v>
      </c>
      <c r="V4" s="63" t="s">
        <v>286</v>
      </c>
      <c r="W4" s="63" t="s">
        <v>287</v>
      </c>
      <c r="X4" s="63" t="s">
        <v>286</v>
      </c>
      <c r="Y4" s="63" t="s">
        <v>287</v>
      </c>
      <c r="Z4" s="63" t="s">
        <v>286</v>
      </c>
      <c r="AA4" s="63" t="s">
        <v>287</v>
      </c>
      <c r="AB4" s="63" t="s">
        <v>286</v>
      </c>
      <c r="AC4" s="63" t="s">
        <v>287</v>
      </c>
      <c r="AD4" s="63" t="s">
        <v>286</v>
      </c>
      <c r="AE4" s="63" t="s">
        <v>287</v>
      </c>
      <c r="AF4" s="63" t="s">
        <v>286</v>
      </c>
      <c r="AG4" s="63" t="s">
        <v>287</v>
      </c>
      <c r="AH4" s="63" t="s">
        <v>286</v>
      </c>
      <c r="AI4" s="63" t="s">
        <v>287</v>
      </c>
      <c r="AJ4" s="63" t="s">
        <v>286</v>
      </c>
      <c r="AK4" s="63" t="s">
        <v>287</v>
      </c>
      <c r="AL4" s="63" t="s">
        <v>286</v>
      </c>
      <c r="AM4" s="63" t="s">
        <v>287</v>
      </c>
      <c r="AN4" s="63" t="s">
        <v>286</v>
      </c>
      <c r="AO4" s="63" t="s">
        <v>287</v>
      </c>
      <c r="AP4" s="63" t="s">
        <v>286</v>
      </c>
      <c r="AQ4" s="63" t="s">
        <v>287</v>
      </c>
      <c r="AR4" s="63" t="s">
        <v>286</v>
      </c>
      <c r="AS4" s="63" t="s">
        <v>287</v>
      </c>
      <c r="AT4" s="63" t="s">
        <v>286</v>
      </c>
      <c r="AU4" s="63" t="s">
        <v>287</v>
      </c>
      <c r="AV4" s="63" t="s">
        <v>286</v>
      </c>
      <c r="AW4" s="63" t="s">
        <v>287</v>
      </c>
      <c r="AX4" s="63" t="s">
        <v>286</v>
      </c>
      <c r="AY4" s="63" t="s">
        <v>287</v>
      </c>
      <c r="AZ4" s="63" t="s">
        <v>286</v>
      </c>
      <c r="BA4" s="63" t="s">
        <v>287</v>
      </c>
      <c r="BB4" s="63" t="s">
        <v>286</v>
      </c>
      <c r="BC4" s="63" t="s">
        <v>287</v>
      </c>
      <c r="BD4" s="63" t="s">
        <v>286</v>
      </c>
      <c r="BE4" s="63" t="s">
        <v>287</v>
      </c>
      <c r="BF4" s="63" t="s">
        <v>286</v>
      </c>
      <c r="BG4" s="63" t="s">
        <v>287</v>
      </c>
      <c r="BH4" s="63" t="s">
        <v>286</v>
      </c>
      <c r="BI4" s="63" t="s">
        <v>287</v>
      </c>
      <c r="BJ4" s="63" t="s">
        <v>286</v>
      </c>
      <c r="BK4" s="63" t="s">
        <v>287</v>
      </c>
      <c r="BL4" s="63" t="s">
        <v>286</v>
      </c>
      <c r="BM4" s="63" t="s">
        <v>287</v>
      </c>
      <c r="BN4" s="63" t="s">
        <v>286</v>
      </c>
      <c r="BO4" s="63" t="s">
        <v>287</v>
      </c>
    </row>
    <row r="5" spans="1:67" x14ac:dyDescent="0.25">
      <c r="A5" s="38" t="s">
        <v>215</v>
      </c>
      <c r="B5" s="39"/>
      <c r="C5" s="39"/>
      <c r="D5" s="56">
        <v>0.37</v>
      </c>
      <c r="E5" s="56">
        <v>0.83</v>
      </c>
      <c r="F5" s="57">
        <v>-1.0012000000000001</v>
      </c>
      <c r="G5" s="57">
        <v>-6.7100000000000007E-2</v>
      </c>
      <c r="H5" s="56">
        <v>0.25</v>
      </c>
      <c r="I5" s="56">
        <v>0.3</v>
      </c>
      <c r="J5" s="56">
        <v>0.35</v>
      </c>
      <c r="K5" s="56">
        <v>0.15</v>
      </c>
      <c r="L5" s="56">
        <v>0.22</v>
      </c>
      <c r="M5" s="56">
        <v>0.31</v>
      </c>
      <c r="N5" s="57">
        <v>0.12759999999999999</v>
      </c>
      <c r="O5" s="57">
        <v>8.0000000000000002E-3</v>
      </c>
      <c r="P5" s="56">
        <v>0.12</v>
      </c>
      <c r="Q5" s="56">
        <v>0.53</v>
      </c>
      <c r="R5" s="56">
        <v>-0.8</v>
      </c>
      <c r="S5" s="56">
        <v>3.92</v>
      </c>
      <c r="T5" s="39"/>
      <c r="U5" s="39"/>
      <c r="V5" s="57">
        <v>2.92E-2</v>
      </c>
      <c r="W5" s="57">
        <v>8.3000000000000001E-3</v>
      </c>
      <c r="X5" s="56">
        <v>0.27</v>
      </c>
      <c r="Y5" s="56">
        <v>0.24</v>
      </c>
      <c r="Z5" s="39">
        <v>92.14</v>
      </c>
      <c r="AA5" s="39">
        <v>198.11</v>
      </c>
      <c r="AB5" s="57">
        <v>0.31919999999999998</v>
      </c>
      <c r="AC5" s="57">
        <v>0.19109999999999999</v>
      </c>
      <c r="AD5" s="56">
        <v>0.26</v>
      </c>
      <c r="AE5" s="56">
        <v>0.17</v>
      </c>
      <c r="AF5" s="57">
        <v>0.1651</v>
      </c>
      <c r="AG5" s="57">
        <v>0.40400000000000003</v>
      </c>
      <c r="AH5" s="39">
        <v>1</v>
      </c>
      <c r="AI5" s="39">
        <v>1</v>
      </c>
      <c r="AJ5" s="56">
        <v>0.5</v>
      </c>
      <c r="AK5" s="56">
        <v>0.38</v>
      </c>
      <c r="AL5" s="58">
        <v>1.1060000000000001</v>
      </c>
      <c r="AM5" s="58">
        <v>0.80800000000000005</v>
      </c>
      <c r="AN5" s="56">
        <v>0.25</v>
      </c>
      <c r="AO5" s="56">
        <v>0.24</v>
      </c>
      <c r="AP5" s="95">
        <v>7.9476604262523134E-3</v>
      </c>
      <c r="AQ5" s="95">
        <v>-9.5229877495228696E-2</v>
      </c>
      <c r="AR5" s="39">
        <v>5.96</v>
      </c>
      <c r="AS5" s="39">
        <v>5.66</v>
      </c>
      <c r="AT5" s="39">
        <v>11.91</v>
      </c>
      <c r="AU5" s="39">
        <v>13.73</v>
      </c>
      <c r="AV5" s="57">
        <v>0.45</v>
      </c>
      <c r="AW5" s="57">
        <v>0.41089999999999999</v>
      </c>
      <c r="AX5" s="56">
        <v>0.23</v>
      </c>
      <c r="AY5" s="56">
        <v>0.22</v>
      </c>
      <c r="AZ5" s="39">
        <v>1.17</v>
      </c>
      <c r="BA5" s="39">
        <v>0.81</v>
      </c>
      <c r="BB5" s="57">
        <v>6.6000000000000003E-2</v>
      </c>
      <c r="BC5" s="57">
        <v>0.26200000000000001</v>
      </c>
      <c r="BD5" s="57">
        <v>0.3669</v>
      </c>
      <c r="BE5" s="57">
        <v>0.3241</v>
      </c>
      <c r="BF5" s="57">
        <v>0.1424</v>
      </c>
      <c r="BG5" s="57">
        <v>0.1203</v>
      </c>
      <c r="BH5" s="57">
        <v>0.2651</v>
      </c>
      <c r="BI5" s="57">
        <v>0.31190000000000001</v>
      </c>
      <c r="BJ5" s="56">
        <v>0.55000000000000004</v>
      </c>
      <c r="BK5" s="56">
        <v>0.43</v>
      </c>
      <c r="BL5" s="39"/>
      <c r="BM5" s="39"/>
      <c r="BN5" s="57">
        <v>1.046</v>
      </c>
      <c r="BO5" s="57">
        <v>0.55600000000000005</v>
      </c>
    </row>
    <row r="6" spans="1:67" ht="30" x14ac:dyDescent="0.25">
      <c r="A6" s="38" t="s">
        <v>307</v>
      </c>
      <c r="B6" s="39"/>
      <c r="C6" s="39"/>
      <c r="D6" s="56">
        <v>1.03</v>
      </c>
      <c r="E6" s="56">
        <v>2.34</v>
      </c>
      <c r="F6" s="57"/>
      <c r="G6" s="57"/>
      <c r="H6" s="56"/>
      <c r="I6" s="56"/>
      <c r="J6" s="56">
        <v>0.5</v>
      </c>
      <c r="K6" s="56">
        <v>1.53</v>
      </c>
      <c r="L6" s="60">
        <v>1.1000000000000001</v>
      </c>
      <c r="M6" s="60">
        <v>3.17</v>
      </c>
      <c r="N6" s="60">
        <v>0.82</v>
      </c>
      <c r="O6" s="60">
        <v>2.2200000000000002</v>
      </c>
      <c r="P6" s="60"/>
      <c r="Q6" s="60"/>
      <c r="R6" s="60"/>
      <c r="S6" s="60"/>
      <c r="T6" s="39">
        <v>0.26</v>
      </c>
      <c r="U6" s="39">
        <v>0.56000000000000005</v>
      </c>
      <c r="V6" s="57"/>
      <c r="W6" s="57"/>
      <c r="X6" s="57"/>
      <c r="Y6" s="57"/>
      <c r="Z6" s="39">
        <v>0.66</v>
      </c>
      <c r="AA6" s="39">
        <v>1.37</v>
      </c>
      <c r="AB6" s="57"/>
      <c r="AC6" s="57"/>
      <c r="AD6" s="60">
        <v>0.73</v>
      </c>
      <c r="AE6" s="60">
        <v>2.16</v>
      </c>
      <c r="AF6" s="39"/>
      <c r="AG6" s="39"/>
      <c r="AH6" s="39"/>
      <c r="AI6" s="39"/>
      <c r="AJ6" s="60">
        <v>0.54</v>
      </c>
      <c r="AK6" s="60">
        <v>1.52</v>
      </c>
      <c r="AL6" s="60">
        <v>0.89</v>
      </c>
      <c r="AM6" s="60">
        <v>2.1800000000000002</v>
      </c>
      <c r="AN6" s="60"/>
      <c r="AO6" s="60"/>
      <c r="AP6" s="60"/>
      <c r="AQ6" s="60"/>
      <c r="AR6" s="60"/>
      <c r="AS6" s="60"/>
      <c r="AT6" s="60"/>
      <c r="AU6" s="39"/>
      <c r="AV6" s="57">
        <v>0.112</v>
      </c>
      <c r="AW6" s="57">
        <v>0.34079999999999999</v>
      </c>
      <c r="AX6" s="56"/>
      <c r="AY6" s="56"/>
      <c r="AZ6" s="39"/>
      <c r="BA6" s="39"/>
      <c r="BB6" s="60">
        <v>0.63</v>
      </c>
      <c r="BC6" s="60">
        <v>2.19</v>
      </c>
      <c r="BD6" s="60"/>
      <c r="BE6" s="60"/>
      <c r="BF6" s="60"/>
      <c r="BG6" s="60"/>
      <c r="BH6" s="57">
        <v>1.1563000000000001</v>
      </c>
      <c r="BI6" s="57">
        <v>3.0474999999999999</v>
      </c>
      <c r="BJ6" s="60"/>
      <c r="BK6" s="56"/>
      <c r="BL6" s="39"/>
      <c r="BM6" s="39"/>
      <c r="BN6" s="57"/>
      <c r="BO6" s="57"/>
    </row>
    <row r="7" spans="1:67" ht="30" x14ac:dyDescent="0.25">
      <c r="A7" s="38" t="s">
        <v>244</v>
      </c>
      <c r="B7" s="39">
        <v>0.63</v>
      </c>
      <c r="C7" s="39">
        <v>0.63</v>
      </c>
      <c r="D7" s="39"/>
      <c r="E7" s="39"/>
      <c r="F7" s="59"/>
      <c r="G7" s="59">
        <v>1.63</v>
      </c>
      <c r="H7" s="59">
        <v>1.54</v>
      </c>
      <c r="I7" s="59">
        <v>4.03</v>
      </c>
      <c r="J7" s="56"/>
      <c r="K7" s="56"/>
      <c r="L7" s="39"/>
      <c r="M7" s="39"/>
      <c r="N7" s="39"/>
      <c r="O7" s="39"/>
      <c r="P7" s="56">
        <v>0.84</v>
      </c>
      <c r="Q7" s="56">
        <v>2.72</v>
      </c>
      <c r="R7" s="39">
        <v>0.06</v>
      </c>
      <c r="S7" s="39">
        <v>1.52</v>
      </c>
      <c r="T7" s="39"/>
      <c r="U7" s="39"/>
      <c r="V7" s="59">
        <v>0.2</v>
      </c>
      <c r="W7" s="59">
        <v>0.2</v>
      </c>
      <c r="X7" s="60">
        <v>0.78</v>
      </c>
      <c r="Y7" s="60">
        <v>2.29</v>
      </c>
      <c r="Z7" s="39"/>
      <c r="AA7" s="39"/>
      <c r="AB7" s="39"/>
      <c r="AC7" s="39"/>
      <c r="AD7" s="39"/>
      <c r="AE7" s="39"/>
      <c r="AF7" s="39"/>
      <c r="AG7" s="39">
        <v>2.3199999999999998</v>
      </c>
      <c r="AH7" s="39">
        <v>1</v>
      </c>
      <c r="AI7" s="39">
        <v>2</v>
      </c>
      <c r="AJ7" s="39"/>
      <c r="AK7" s="39"/>
      <c r="AL7" s="59"/>
      <c r="AM7" s="59"/>
      <c r="AN7" s="39">
        <v>1.03</v>
      </c>
      <c r="AO7" s="39">
        <v>2.9</v>
      </c>
      <c r="AP7" s="59">
        <v>6.0687728723267549</v>
      </c>
      <c r="AQ7" s="59">
        <v>18.525459923070258</v>
      </c>
      <c r="AR7" s="39">
        <v>0.41</v>
      </c>
      <c r="AS7" s="39">
        <v>1.21</v>
      </c>
      <c r="AT7" s="39">
        <v>-6.28</v>
      </c>
      <c r="AU7" s="39">
        <v>3.88</v>
      </c>
      <c r="AV7" s="57"/>
      <c r="AW7" s="57"/>
      <c r="AX7" s="39">
        <v>0.85</v>
      </c>
      <c r="AY7" s="39">
        <v>3.17</v>
      </c>
      <c r="AZ7" s="39">
        <v>1.36</v>
      </c>
      <c r="BA7" s="39">
        <v>3.24</v>
      </c>
      <c r="BB7" s="39"/>
      <c r="BC7" s="39"/>
      <c r="BD7" s="59">
        <v>0.7</v>
      </c>
      <c r="BE7" s="39">
        <v>1.85</v>
      </c>
      <c r="BF7" s="57">
        <v>0.34789999999999999</v>
      </c>
      <c r="BG7" s="57">
        <v>1.0038</v>
      </c>
      <c r="BH7" s="57"/>
      <c r="BI7" s="57"/>
      <c r="BJ7" s="59">
        <v>1.2</v>
      </c>
      <c r="BK7" s="39">
        <v>2.84</v>
      </c>
      <c r="BL7" s="39"/>
      <c r="BM7" s="39"/>
      <c r="BN7" s="39">
        <v>1.55</v>
      </c>
      <c r="BO7" s="39">
        <v>2.59</v>
      </c>
    </row>
    <row r="8" spans="1:67" x14ac:dyDescent="0.25">
      <c r="A8" s="38" t="s">
        <v>308</v>
      </c>
      <c r="B8" s="39"/>
      <c r="C8" s="39"/>
      <c r="D8" s="39"/>
      <c r="E8" s="39"/>
      <c r="F8" s="57">
        <v>7.6399999999999996E-2</v>
      </c>
      <c r="G8" s="57">
        <v>7.6399999999999996E-2</v>
      </c>
      <c r="H8" s="56">
        <v>-0.24</v>
      </c>
      <c r="I8" s="56">
        <v>-0.24</v>
      </c>
      <c r="J8" s="56"/>
      <c r="K8" s="56"/>
      <c r="L8" s="39"/>
      <c r="M8" s="39"/>
      <c r="N8" s="39"/>
      <c r="O8" s="39"/>
      <c r="P8" s="56"/>
      <c r="Q8" s="56"/>
      <c r="R8" s="56">
        <v>-0.19</v>
      </c>
      <c r="S8" s="56">
        <v>-0.19</v>
      </c>
      <c r="T8" s="39"/>
      <c r="U8" s="39"/>
      <c r="V8" s="57">
        <v>0.19689999999999999</v>
      </c>
      <c r="W8" s="57">
        <v>0.19689999999999999</v>
      </c>
      <c r="X8" s="56">
        <v>0.17</v>
      </c>
      <c r="Y8" s="56">
        <v>0.17</v>
      </c>
      <c r="Z8" s="39"/>
      <c r="AA8" s="39"/>
      <c r="AB8" s="39"/>
      <c r="AC8" s="39"/>
      <c r="AD8" s="39"/>
      <c r="AE8" s="39"/>
      <c r="AF8" s="39"/>
      <c r="AG8" s="57">
        <v>0.2056</v>
      </c>
      <c r="AH8" s="56">
        <v>7.0000000000000007E-2</v>
      </c>
      <c r="AI8" s="56">
        <v>7.0000000000000007E-2</v>
      </c>
      <c r="AJ8" s="39">
        <v>0.69</v>
      </c>
      <c r="AK8" s="39">
        <v>0.69</v>
      </c>
      <c r="AL8" s="59"/>
      <c r="AM8" s="59"/>
      <c r="AN8" s="56">
        <v>-0.03</v>
      </c>
      <c r="AO8" s="56">
        <v>-0.03</v>
      </c>
      <c r="AP8" s="95">
        <v>-0.852544236757105</v>
      </c>
      <c r="AQ8" s="95">
        <v>-0.852544236757105</v>
      </c>
      <c r="AR8" s="39"/>
      <c r="AS8" s="39"/>
      <c r="AT8" s="39">
        <v>-393.78</v>
      </c>
      <c r="AU8" s="39">
        <v>6.55</v>
      </c>
      <c r="AV8" s="57"/>
      <c r="AW8" s="57"/>
      <c r="AX8" s="56">
        <v>0.02</v>
      </c>
      <c r="AY8" s="56">
        <v>0.09</v>
      </c>
      <c r="AZ8" s="39">
        <v>0.93</v>
      </c>
      <c r="BA8" s="39">
        <v>0.93</v>
      </c>
      <c r="BB8" s="39"/>
      <c r="BC8" s="39"/>
      <c r="BD8" s="57">
        <v>0.23499999999999999</v>
      </c>
      <c r="BE8" s="57">
        <v>0.23499999999999999</v>
      </c>
      <c r="BF8" s="57">
        <v>0.16300000000000001</v>
      </c>
      <c r="BG8" s="57">
        <v>0.16300000000000001</v>
      </c>
      <c r="BH8" s="57"/>
      <c r="BI8" s="57"/>
      <c r="BJ8" s="56">
        <v>-0.01</v>
      </c>
      <c r="BK8" s="56">
        <v>0.3</v>
      </c>
      <c r="BL8" s="39"/>
      <c r="BM8" s="39"/>
      <c r="BN8" s="57">
        <v>0.9244</v>
      </c>
      <c r="BO8" s="57">
        <v>0.9244</v>
      </c>
    </row>
    <row r="9" spans="1:67" ht="30" x14ac:dyDescent="0.25">
      <c r="A9" s="38" t="s">
        <v>310</v>
      </c>
      <c r="B9" s="39"/>
      <c r="C9" s="39"/>
      <c r="D9" s="56">
        <v>-0.28000000000000003</v>
      </c>
      <c r="E9" s="56">
        <v>0.12</v>
      </c>
      <c r="F9" s="57"/>
      <c r="G9" s="57"/>
      <c r="H9" s="56"/>
      <c r="I9" s="56"/>
      <c r="J9" s="56">
        <v>0.17</v>
      </c>
      <c r="K9" s="56">
        <v>0.18</v>
      </c>
      <c r="L9" s="57">
        <v>1E-3</v>
      </c>
      <c r="M9" s="57">
        <v>1E-3</v>
      </c>
      <c r="N9" s="57">
        <v>4.07E-2</v>
      </c>
      <c r="O9" s="57">
        <v>0.15540000000000001</v>
      </c>
      <c r="P9" s="56">
        <v>0.08</v>
      </c>
      <c r="Q9" s="56">
        <v>0.08</v>
      </c>
      <c r="R9" s="56"/>
      <c r="S9" s="56"/>
      <c r="T9" s="56">
        <v>-0.14000000000000001</v>
      </c>
      <c r="U9" s="56">
        <v>-0.28000000000000003</v>
      </c>
      <c r="V9" s="57"/>
      <c r="W9" s="39"/>
      <c r="X9" s="56"/>
      <c r="Y9" s="56"/>
      <c r="Z9" s="39">
        <v>0.41</v>
      </c>
      <c r="AA9" s="39">
        <v>0.41</v>
      </c>
      <c r="AB9" s="57">
        <v>0.1661</v>
      </c>
      <c r="AC9" s="57">
        <v>0.1661</v>
      </c>
      <c r="AD9" s="56">
        <v>0.02</v>
      </c>
      <c r="AE9" s="56">
        <v>0.12</v>
      </c>
      <c r="AF9" s="39"/>
      <c r="AG9" s="39"/>
      <c r="AH9" s="56"/>
      <c r="AI9" s="56"/>
      <c r="AJ9" s="39"/>
      <c r="AK9" s="39"/>
      <c r="AL9" s="58">
        <v>2.3E-2</v>
      </c>
      <c r="AM9" s="58">
        <v>2.3E-2</v>
      </c>
      <c r="AN9" s="56"/>
      <c r="AO9" s="56"/>
      <c r="AP9" s="39"/>
      <c r="AQ9" s="39"/>
      <c r="AR9" s="39">
        <v>-1.6</v>
      </c>
      <c r="AS9" s="39">
        <v>3.99</v>
      </c>
      <c r="AT9" s="39"/>
      <c r="AU9" s="39"/>
      <c r="AV9" s="57">
        <v>-5.3100000000000001E-2</v>
      </c>
      <c r="AW9" s="57">
        <v>-5.3100000000000001E-2</v>
      </c>
      <c r="AX9" s="39"/>
      <c r="AY9" s="39"/>
      <c r="AZ9" s="39"/>
      <c r="BA9" s="39"/>
      <c r="BB9" s="57">
        <v>8.6999999999999994E-2</v>
      </c>
      <c r="BC9" s="57">
        <v>8.6999999999999994E-2</v>
      </c>
      <c r="BD9" s="57"/>
      <c r="BE9" s="57"/>
      <c r="BF9" s="57"/>
      <c r="BG9" s="57"/>
      <c r="BH9" s="57">
        <v>0.63300000000000001</v>
      </c>
      <c r="BI9" s="57">
        <v>0.63300000000000001</v>
      </c>
      <c r="BJ9" s="56"/>
      <c r="BK9" s="56"/>
      <c r="BL9" s="39"/>
      <c r="BM9" s="39"/>
      <c r="BN9" s="39"/>
      <c r="BO9" s="39"/>
    </row>
    <row r="10" spans="1:67" x14ac:dyDescent="0.25">
      <c r="A10" s="38" t="s">
        <v>216</v>
      </c>
      <c r="B10" s="57">
        <v>0.5786</v>
      </c>
      <c r="C10" s="57">
        <v>0.62790000000000001</v>
      </c>
      <c r="D10" s="56">
        <v>0.94</v>
      </c>
      <c r="E10" s="56">
        <v>0.94</v>
      </c>
      <c r="F10" s="57">
        <v>10.4343</v>
      </c>
      <c r="G10" s="57">
        <v>0.22570000000000001</v>
      </c>
      <c r="H10" s="56">
        <v>0.78</v>
      </c>
      <c r="I10" s="56">
        <v>0.78</v>
      </c>
      <c r="J10" s="56">
        <v>0.78</v>
      </c>
      <c r="K10" s="56">
        <v>0.73</v>
      </c>
      <c r="L10" s="56">
        <v>0.69</v>
      </c>
      <c r="M10" s="56">
        <v>0.66</v>
      </c>
      <c r="N10" s="57">
        <v>0.67410000000000003</v>
      </c>
      <c r="O10" s="57">
        <v>0.73580000000000001</v>
      </c>
      <c r="P10" s="56">
        <v>0.95</v>
      </c>
      <c r="Q10" s="56">
        <v>0.95</v>
      </c>
      <c r="R10" s="56">
        <v>0.8</v>
      </c>
      <c r="S10" s="56">
        <v>0.67</v>
      </c>
      <c r="T10" s="56">
        <v>0.79</v>
      </c>
      <c r="U10" s="56">
        <v>0.66</v>
      </c>
      <c r="V10" s="57">
        <v>0.72489999999999999</v>
      </c>
      <c r="W10" s="57">
        <v>0.68279999999999996</v>
      </c>
      <c r="X10" s="56">
        <v>0.65</v>
      </c>
      <c r="Y10" s="56">
        <v>0.67</v>
      </c>
      <c r="Z10" s="57">
        <v>0.79990000000000006</v>
      </c>
      <c r="AA10" s="57">
        <v>0.81200000000000006</v>
      </c>
      <c r="AB10" s="57">
        <v>0.53110000000000002</v>
      </c>
      <c r="AC10" s="57">
        <v>0.48420000000000002</v>
      </c>
      <c r="AD10" s="56">
        <v>0.69</v>
      </c>
      <c r="AE10" s="56">
        <v>0.63</v>
      </c>
      <c r="AF10" s="57">
        <v>0.62509999999999999</v>
      </c>
      <c r="AG10" s="57">
        <v>0.57930000000000004</v>
      </c>
      <c r="AH10" s="56">
        <v>0.88</v>
      </c>
      <c r="AI10" s="56">
        <v>0.89</v>
      </c>
      <c r="AJ10" s="56">
        <v>0.9</v>
      </c>
      <c r="AK10" s="56">
        <v>0.85</v>
      </c>
      <c r="AL10" s="58">
        <v>0.57599999999999996</v>
      </c>
      <c r="AM10" s="58">
        <v>0.439</v>
      </c>
      <c r="AN10" s="56">
        <v>0.76</v>
      </c>
      <c r="AO10" s="56">
        <v>0.76</v>
      </c>
      <c r="AP10" s="95">
        <v>0.58048069972140137</v>
      </c>
      <c r="AQ10" s="95">
        <v>0.6451058909870333</v>
      </c>
      <c r="AR10" s="39">
        <v>78.510000000000005</v>
      </c>
      <c r="AS10" s="39">
        <v>79.5</v>
      </c>
      <c r="AT10" s="39">
        <v>76.42</v>
      </c>
      <c r="AU10" s="39">
        <v>77.64</v>
      </c>
      <c r="AV10" s="57">
        <v>0.81569999999999998</v>
      </c>
      <c r="AW10" s="57">
        <v>0.80500000000000005</v>
      </c>
      <c r="AX10" s="56">
        <v>0.61</v>
      </c>
      <c r="AY10" s="56">
        <v>0.59</v>
      </c>
      <c r="AZ10" s="59">
        <v>0.6</v>
      </c>
      <c r="BA10" s="39">
        <v>0.69</v>
      </c>
      <c r="BB10" s="57">
        <v>0.69199999999999995</v>
      </c>
      <c r="BC10" s="57">
        <v>0.66900000000000004</v>
      </c>
      <c r="BD10" s="57">
        <v>0.52029999999999998</v>
      </c>
      <c r="BE10" s="57">
        <v>0.53790000000000004</v>
      </c>
      <c r="BF10" s="57">
        <v>0.91720000000000002</v>
      </c>
      <c r="BG10" s="57">
        <v>0.92130000000000001</v>
      </c>
      <c r="BH10" s="57">
        <v>0.76239999999999997</v>
      </c>
      <c r="BI10" s="57">
        <v>0.76370000000000005</v>
      </c>
      <c r="BJ10" s="56">
        <v>0.62</v>
      </c>
      <c r="BK10" s="56">
        <v>0.63</v>
      </c>
      <c r="BL10" s="39"/>
      <c r="BM10" s="39"/>
      <c r="BN10" s="57">
        <v>0.38790000000000002</v>
      </c>
      <c r="BO10" s="57">
        <v>0.47049999999999997</v>
      </c>
    </row>
    <row r="11" spans="1:67" x14ac:dyDescent="0.25">
      <c r="A11" s="38" t="s">
        <v>217</v>
      </c>
      <c r="B11" s="57">
        <v>-5.28E-2</v>
      </c>
      <c r="C11" s="57">
        <v>-4.5699999999999998E-2</v>
      </c>
      <c r="D11" s="56">
        <v>0.1</v>
      </c>
      <c r="E11" s="56">
        <v>0.1</v>
      </c>
      <c r="F11" s="57">
        <v>42.530999999999999</v>
      </c>
      <c r="G11" s="57">
        <v>-0.12989999999999999</v>
      </c>
      <c r="H11" s="56">
        <v>7.0000000000000007E-2</v>
      </c>
      <c r="I11" s="56">
        <v>0.05</v>
      </c>
      <c r="J11" s="56">
        <v>7.0000000000000007E-2</v>
      </c>
      <c r="K11" s="56">
        <v>0.06</v>
      </c>
      <c r="L11" s="56">
        <v>0.04</v>
      </c>
      <c r="M11" s="56">
        <v>0.05</v>
      </c>
      <c r="N11" s="57">
        <v>-6.8900000000000003E-2</v>
      </c>
      <c r="O11" s="57">
        <v>-2.5000000000000001E-3</v>
      </c>
      <c r="P11" s="56">
        <v>0.11</v>
      </c>
      <c r="Q11" s="56">
        <v>0.11</v>
      </c>
      <c r="R11" s="56">
        <v>-0.02</v>
      </c>
      <c r="S11" s="56">
        <v>-0.08</v>
      </c>
      <c r="T11" s="56">
        <v>-0.05</v>
      </c>
      <c r="U11" s="56">
        <v>-0.19</v>
      </c>
      <c r="V11" s="57">
        <v>-5.4800000000000001E-2</v>
      </c>
      <c r="W11" s="57">
        <v>-5.9299999999999999E-2</v>
      </c>
      <c r="X11" s="56">
        <v>0.05</v>
      </c>
      <c r="Y11" s="56">
        <v>0.05</v>
      </c>
      <c r="Z11" s="57">
        <v>1.2200000000000001E-2</v>
      </c>
      <c r="AA11" s="57">
        <v>1.84E-2</v>
      </c>
      <c r="AB11" s="57">
        <v>-1.61E-2</v>
      </c>
      <c r="AC11" s="57">
        <v>-4.4900000000000002E-2</v>
      </c>
      <c r="AD11" s="56">
        <v>0.04</v>
      </c>
      <c r="AE11" s="56">
        <v>0.02</v>
      </c>
      <c r="AF11" s="57">
        <v>5.2600000000000001E-2</v>
      </c>
      <c r="AG11" s="57">
        <v>5.16E-2</v>
      </c>
      <c r="AH11" s="56">
        <v>7.0000000000000007E-2</v>
      </c>
      <c r="AI11" s="56">
        <v>0.08</v>
      </c>
      <c r="AJ11" s="56">
        <v>0.1</v>
      </c>
      <c r="AK11" s="56">
        <v>0.11</v>
      </c>
      <c r="AL11" s="57">
        <v>-0.111</v>
      </c>
      <c r="AM11" s="57">
        <v>-4.9000000000000002E-2</v>
      </c>
      <c r="AN11" s="56">
        <v>0.03</v>
      </c>
      <c r="AO11" s="56">
        <v>0.02</v>
      </c>
      <c r="AP11" s="95">
        <v>0.10133757896857479</v>
      </c>
      <c r="AQ11" s="95">
        <v>6.342879783364333E-2</v>
      </c>
      <c r="AR11" s="39">
        <v>9.01</v>
      </c>
      <c r="AS11" s="39">
        <v>9.4700000000000006</v>
      </c>
      <c r="AT11" s="39">
        <v>5.83</v>
      </c>
      <c r="AU11" s="39">
        <v>5.73</v>
      </c>
      <c r="AV11" s="57">
        <v>7.6899999999999996E-2</v>
      </c>
      <c r="AW11" s="57">
        <v>8.1799999999999998E-2</v>
      </c>
      <c r="AX11" s="56">
        <v>0.02</v>
      </c>
      <c r="AY11" s="56">
        <v>0</v>
      </c>
      <c r="AZ11" s="39">
        <v>-0.05</v>
      </c>
      <c r="BA11" s="39">
        <v>-0.02</v>
      </c>
      <c r="BB11" s="57">
        <v>0.04</v>
      </c>
      <c r="BC11" s="57">
        <v>3.2000000000000001E-2</v>
      </c>
      <c r="BD11" s="57">
        <v>-2.5499999999999998E-2</v>
      </c>
      <c r="BE11" s="57">
        <v>-3.7100000000000001E-2</v>
      </c>
      <c r="BF11" s="57">
        <v>3.7699999999999997E-2</v>
      </c>
      <c r="BG11" s="57">
        <v>3.6299999999999999E-2</v>
      </c>
      <c r="BH11" s="57">
        <v>9.3899999999999997E-2</v>
      </c>
      <c r="BI11" s="57">
        <v>9.8599999999999993E-2</v>
      </c>
      <c r="BJ11" s="56">
        <v>0</v>
      </c>
      <c r="BK11" s="56">
        <v>0.01</v>
      </c>
      <c r="BL11" s="39"/>
      <c r="BM11" s="39"/>
      <c r="BN11" s="57">
        <v>5.7999999999999996E-3</v>
      </c>
      <c r="BO11" s="57">
        <v>4.6300000000000001E-2</v>
      </c>
    </row>
    <row r="12" spans="1:67" ht="30" x14ac:dyDescent="0.25">
      <c r="A12" s="38" t="s">
        <v>218</v>
      </c>
      <c r="B12" s="57">
        <v>0.74960000000000004</v>
      </c>
      <c r="C12" s="57">
        <v>1.0134000000000001</v>
      </c>
      <c r="D12" s="56">
        <v>0.77</v>
      </c>
      <c r="E12" s="56">
        <v>0.96</v>
      </c>
      <c r="F12" s="57">
        <v>-55.728299999999997</v>
      </c>
      <c r="G12" s="57">
        <v>2.5399999999999999E-2</v>
      </c>
      <c r="H12" s="56">
        <v>0.42</v>
      </c>
      <c r="I12" s="56">
        <v>0.39</v>
      </c>
      <c r="J12" s="56">
        <v>0.27</v>
      </c>
      <c r="K12" s="56">
        <v>0.24</v>
      </c>
      <c r="L12" s="56">
        <v>0.3</v>
      </c>
      <c r="M12" s="56">
        <v>0.3</v>
      </c>
      <c r="N12" s="57">
        <v>0.30590000000000001</v>
      </c>
      <c r="O12" s="57">
        <v>0.2737</v>
      </c>
      <c r="P12" s="56">
        <v>0.82</v>
      </c>
      <c r="Q12" s="56">
        <v>0.74</v>
      </c>
      <c r="R12" s="56">
        <v>3.67</v>
      </c>
      <c r="S12" s="56">
        <v>0.63</v>
      </c>
      <c r="T12" s="56">
        <v>0.67</v>
      </c>
      <c r="U12" s="56">
        <v>0.81</v>
      </c>
      <c r="V12" s="57">
        <v>0.19919999999999999</v>
      </c>
      <c r="W12" s="57">
        <v>0.18779999999999999</v>
      </c>
      <c r="X12" s="56">
        <v>0.3</v>
      </c>
      <c r="Y12" s="56">
        <v>0.3</v>
      </c>
      <c r="Z12" s="57">
        <v>0.438</v>
      </c>
      <c r="AA12" s="57">
        <v>0.49209999999999998</v>
      </c>
      <c r="AB12" s="57">
        <v>0.19450000000000001</v>
      </c>
      <c r="AC12" s="57">
        <v>0.1976</v>
      </c>
      <c r="AD12" s="56">
        <v>0.22</v>
      </c>
      <c r="AE12" s="56">
        <v>0.2</v>
      </c>
      <c r="AF12" s="57">
        <v>0.14149999999999999</v>
      </c>
      <c r="AG12" s="57">
        <v>0.14119999999999999</v>
      </c>
      <c r="AH12" s="56">
        <v>0.41</v>
      </c>
      <c r="AI12" s="56">
        <v>0.44</v>
      </c>
      <c r="AJ12" s="56">
        <v>0.45</v>
      </c>
      <c r="AK12" s="56">
        <v>0.43</v>
      </c>
      <c r="AL12" s="58">
        <v>0.33800000000000002</v>
      </c>
      <c r="AM12" s="58">
        <v>0.33600000000000002</v>
      </c>
      <c r="AN12" s="56">
        <v>0.5</v>
      </c>
      <c r="AO12" s="56">
        <v>0.5</v>
      </c>
      <c r="AP12" s="95">
        <v>0.25652714564574747</v>
      </c>
      <c r="AQ12" s="95">
        <v>0.25035729476011509</v>
      </c>
      <c r="AR12" s="39">
        <v>21.74</v>
      </c>
      <c r="AS12" s="39">
        <v>21.49</v>
      </c>
      <c r="AT12" s="39">
        <v>23.55</v>
      </c>
      <c r="AU12" s="39">
        <v>22.82</v>
      </c>
      <c r="AV12" s="57">
        <v>0.37959999999999999</v>
      </c>
      <c r="AW12" s="57">
        <v>0.37680000000000002</v>
      </c>
      <c r="AX12" s="56">
        <v>0.26</v>
      </c>
      <c r="AY12" s="56">
        <v>0.2</v>
      </c>
      <c r="AZ12" s="39">
        <v>0.32</v>
      </c>
      <c r="BA12" s="39">
        <v>0.39</v>
      </c>
      <c r="BB12" s="57">
        <v>0.24299999999999999</v>
      </c>
      <c r="BC12" s="57">
        <v>0.214</v>
      </c>
      <c r="BD12" s="57">
        <v>0.18290000000000001</v>
      </c>
      <c r="BE12" s="57">
        <v>0.20369999999999999</v>
      </c>
      <c r="BF12" s="57">
        <v>0.16350000000000001</v>
      </c>
      <c r="BG12" s="57">
        <v>0.15920000000000001</v>
      </c>
      <c r="BH12" s="57">
        <v>0.30709999999999998</v>
      </c>
      <c r="BI12" s="57">
        <v>0.34310000000000002</v>
      </c>
      <c r="BJ12" s="56">
        <v>0.24</v>
      </c>
      <c r="BK12" s="56">
        <v>0.27</v>
      </c>
      <c r="BL12" s="39"/>
      <c r="BM12" s="39"/>
      <c r="BN12" s="57">
        <v>8.2699999999999996E-2</v>
      </c>
      <c r="BO12" s="57">
        <v>0.12720000000000001</v>
      </c>
    </row>
    <row r="13" spans="1:67" ht="30" x14ac:dyDescent="0.25">
      <c r="A13" s="38" t="s">
        <v>219</v>
      </c>
      <c r="B13" s="57">
        <v>1.2956000000000001</v>
      </c>
      <c r="C13" s="57">
        <v>1.6137999999999999</v>
      </c>
      <c r="D13" s="39"/>
      <c r="E13" s="39"/>
      <c r="F13" s="57">
        <v>61.1676</v>
      </c>
      <c r="G13" s="57">
        <v>0.1124</v>
      </c>
      <c r="H13" s="56">
        <v>0.54</v>
      </c>
      <c r="I13" s="56">
        <v>0.5</v>
      </c>
      <c r="J13" s="56">
        <v>0.34</v>
      </c>
      <c r="K13" s="56">
        <v>0.33</v>
      </c>
      <c r="L13" s="56">
        <v>0.43</v>
      </c>
      <c r="M13" s="56">
        <v>0.44</v>
      </c>
      <c r="N13" s="39"/>
      <c r="O13" s="39"/>
      <c r="P13" s="39"/>
      <c r="Q13" s="39"/>
      <c r="R13" s="56">
        <v>4.51</v>
      </c>
      <c r="S13" s="56">
        <v>0.93</v>
      </c>
      <c r="T13" s="56">
        <v>0.8</v>
      </c>
      <c r="U13" s="56">
        <v>1.06</v>
      </c>
      <c r="V13" s="57">
        <v>0.27479999999999999</v>
      </c>
      <c r="W13" s="57">
        <v>0.27500000000000002</v>
      </c>
      <c r="X13" s="56">
        <v>0.45</v>
      </c>
      <c r="Y13" s="56">
        <v>0.43</v>
      </c>
      <c r="Z13" s="57">
        <v>0.4451</v>
      </c>
      <c r="AA13" s="57">
        <v>0.5071</v>
      </c>
      <c r="AB13" s="57">
        <v>0.36170000000000002</v>
      </c>
      <c r="AC13" s="57">
        <v>0.40289999999999998</v>
      </c>
      <c r="AD13" s="56">
        <v>0.32</v>
      </c>
      <c r="AE13" s="56">
        <v>0.31</v>
      </c>
      <c r="AF13" s="57">
        <v>0.22270000000000001</v>
      </c>
      <c r="AG13" s="57">
        <v>0.2407</v>
      </c>
      <c r="AH13" s="56">
        <v>0.47</v>
      </c>
      <c r="AI13" s="56">
        <v>0.5</v>
      </c>
      <c r="AJ13" s="56">
        <v>0.49</v>
      </c>
      <c r="AK13" s="56">
        <v>0.5</v>
      </c>
      <c r="AL13" s="58">
        <v>0.55600000000000005</v>
      </c>
      <c r="AM13" s="58">
        <v>0.71599999999999997</v>
      </c>
      <c r="AN13" s="56">
        <v>0.66</v>
      </c>
      <c r="AO13" s="56">
        <v>0.66</v>
      </c>
      <c r="AP13" s="95">
        <v>0.4352509476315658</v>
      </c>
      <c r="AQ13" s="95">
        <v>0.38406020689091053</v>
      </c>
      <c r="AR13" s="39">
        <v>26.62</v>
      </c>
      <c r="AS13" s="39">
        <v>25.8</v>
      </c>
      <c r="AT13" s="39">
        <v>30.03</v>
      </c>
      <c r="AU13" s="39">
        <v>28.67</v>
      </c>
      <c r="AV13" s="39"/>
      <c r="AW13" s="39"/>
      <c r="AX13" s="56">
        <v>0.42</v>
      </c>
      <c r="AY13" s="56">
        <v>0.34</v>
      </c>
      <c r="AZ13" s="39">
        <v>0.52</v>
      </c>
      <c r="BA13" s="39">
        <v>0.56000000000000005</v>
      </c>
      <c r="BB13" s="57">
        <v>0.34699999999999998</v>
      </c>
      <c r="BC13" s="57">
        <v>0.317</v>
      </c>
      <c r="BD13" s="57">
        <v>0.34989999999999999</v>
      </c>
      <c r="BE13" s="57">
        <v>0.37780000000000002</v>
      </c>
      <c r="BF13" s="57">
        <v>0.1779</v>
      </c>
      <c r="BG13" s="57">
        <v>0.17230000000000001</v>
      </c>
      <c r="BH13" s="39"/>
      <c r="BI13" s="39"/>
      <c r="BJ13" s="56">
        <v>0.39</v>
      </c>
      <c r="BK13" s="56">
        <v>0.42</v>
      </c>
      <c r="BL13" s="39"/>
      <c r="BM13" s="39"/>
      <c r="BN13" s="57">
        <v>0.21310000000000001</v>
      </c>
      <c r="BO13" s="57">
        <v>0.2702</v>
      </c>
    </row>
    <row r="14" spans="1:67" ht="30" x14ac:dyDescent="0.25">
      <c r="A14" s="38" t="s">
        <v>220</v>
      </c>
      <c r="B14" s="57">
        <v>0.1643</v>
      </c>
      <c r="C14" s="57">
        <v>0.44180000000000003</v>
      </c>
      <c r="D14" s="39"/>
      <c r="E14" s="39"/>
      <c r="F14" s="57">
        <v>3.3712</v>
      </c>
      <c r="G14" s="57">
        <v>0.96419999999999995</v>
      </c>
      <c r="H14" s="56">
        <v>0.66</v>
      </c>
      <c r="I14" s="56">
        <v>0.77</v>
      </c>
      <c r="J14" s="56">
        <v>0.64</v>
      </c>
      <c r="K14" s="56">
        <v>0.66</v>
      </c>
      <c r="L14" s="56">
        <v>0.78</v>
      </c>
      <c r="M14" s="56">
        <v>0.78</v>
      </c>
      <c r="N14" s="39"/>
      <c r="O14" s="39"/>
      <c r="P14" s="39"/>
      <c r="Q14" s="39"/>
      <c r="R14" s="56">
        <v>0.59</v>
      </c>
      <c r="S14" s="56">
        <v>0.42</v>
      </c>
      <c r="T14" s="56">
        <v>1.56</v>
      </c>
      <c r="U14" s="56">
        <v>1.68</v>
      </c>
      <c r="V14" s="57">
        <v>0.6583</v>
      </c>
      <c r="W14" s="57">
        <v>1.5508999999999999</v>
      </c>
      <c r="X14" s="56">
        <v>0.67</v>
      </c>
      <c r="Y14" s="56">
        <v>0.65</v>
      </c>
      <c r="Z14" s="57">
        <v>0.6996</v>
      </c>
      <c r="AA14" s="57">
        <v>0.71989999999999998</v>
      </c>
      <c r="AB14" s="57">
        <v>0.76290000000000002</v>
      </c>
      <c r="AC14" s="57">
        <v>0.77470000000000006</v>
      </c>
      <c r="AD14" s="56">
        <v>0.72</v>
      </c>
      <c r="AE14" s="56">
        <v>0.77</v>
      </c>
      <c r="AF14" s="57">
        <v>0.86660000000000004</v>
      </c>
      <c r="AG14" s="57">
        <v>0.8871</v>
      </c>
      <c r="AH14" s="56">
        <v>0.69</v>
      </c>
      <c r="AI14" s="56">
        <v>0.7</v>
      </c>
      <c r="AJ14" s="56">
        <v>0.87</v>
      </c>
      <c r="AK14" s="56">
        <v>0.7</v>
      </c>
      <c r="AL14" s="58">
        <v>0.83799999999999997</v>
      </c>
      <c r="AM14" s="58">
        <v>0.53900000000000003</v>
      </c>
      <c r="AN14" s="56">
        <v>0.56999999999999995</v>
      </c>
      <c r="AO14" s="56">
        <v>0.61</v>
      </c>
      <c r="AP14" s="95">
        <v>1.0373536728148625</v>
      </c>
      <c r="AQ14" s="95">
        <v>1.1043468754559422</v>
      </c>
      <c r="AR14" s="39">
        <v>101.49</v>
      </c>
      <c r="AS14" s="39">
        <v>96.07</v>
      </c>
      <c r="AT14" s="39">
        <v>122.09</v>
      </c>
      <c r="AU14" s="39">
        <v>112.66</v>
      </c>
      <c r="AV14" s="39"/>
      <c r="AW14" s="39"/>
      <c r="AX14" s="56">
        <v>0.88</v>
      </c>
      <c r="AY14" s="56">
        <v>0.86</v>
      </c>
      <c r="AZ14" s="39">
        <v>0.56999999999999995</v>
      </c>
      <c r="BA14" s="39">
        <v>0.56999999999999995</v>
      </c>
      <c r="BB14" s="57">
        <v>0.85899999999999999</v>
      </c>
      <c r="BC14" s="57">
        <v>0.84599999999999997</v>
      </c>
      <c r="BD14" s="57">
        <v>0.73319999999999996</v>
      </c>
      <c r="BE14" s="57">
        <v>0.75480000000000003</v>
      </c>
      <c r="BF14" s="57">
        <v>0.8054</v>
      </c>
      <c r="BG14" s="57">
        <v>0.8609</v>
      </c>
      <c r="BH14" s="39"/>
      <c r="BI14" s="39"/>
      <c r="BJ14" s="56">
        <v>0.85</v>
      </c>
      <c r="BK14" s="56">
        <v>0.77</v>
      </c>
      <c r="BL14" s="39"/>
      <c r="BM14" s="39"/>
      <c r="BN14" s="57">
        <v>1.0126999999999999</v>
      </c>
      <c r="BO14" s="57">
        <v>0.83689999999999998</v>
      </c>
    </row>
    <row r="15" spans="1:67" x14ac:dyDescent="0.25">
      <c r="A15" s="38" t="s">
        <v>221</v>
      </c>
      <c r="B15" s="57">
        <v>1.4071</v>
      </c>
      <c r="C15" s="57">
        <v>2.0099</v>
      </c>
      <c r="D15" s="56">
        <v>1.36</v>
      </c>
      <c r="E15" s="56">
        <v>1.55</v>
      </c>
      <c r="F15" s="57">
        <v>103.209</v>
      </c>
      <c r="G15" s="57">
        <v>0.94179999999999997</v>
      </c>
      <c r="H15" s="56">
        <v>1.1100000000000001</v>
      </c>
      <c r="I15" s="56">
        <v>1.1599999999999999</v>
      </c>
      <c r="J15" s="56">
        <v>0.94</v>
      </c>
      <c r="K15" s="56">
        <v>0.94</v>
      </c>
      <c r="L15" s="56">
        <v>1.1499999999999999</v>
      </c>
      <c r="M15" s="56">
        <v>1.1599999999999999</v>
      </c>
      <c r="N15" s="57">
        <v>1.0752999999999999</v>
      </c>
      <c r="O15" s="57">
        <v>1.0502</v>
      </c>
      <c r="P15" s="56">
        <v>1.46</v>
      </c>
      <c r="Q15" s="56">
        <v>1.41</v>
      </c>
      <c r="R15" s="56">
        <v>5.0199999999999996</v>
      </c>
      <c r="S15" s="56">
        <v>1.06</v>
      </c>
      <c r="T15" s="56">
        <v>2.27</v>
      </c>
      <c r="U15" s="56">
        <v>2.5299999999999998</v>
      </c>
      <c r="V15" s="57">
        <v>0.87260000000000004</v>
      </c>
      <c r="W15" s="57">
        <v>1.7608999999999999</v>
      </c>
      <c r="X15" s="56">
        <v>1.06</v>
      </c>
      <c r="Y15" s="56">
        <v>1.04</v>
      </c>
      <c r="Z15" s="57">
        <v>1.1268</v>
      </c>
      <c r="AA15" s="57">
        <v>1.2109000000000001</v>
      </c>
      <c r="AB15" s="57">
        <v>0.9667</v>
      </c>
      <c r="AC15" s="57">
        <v>0.98340000000000005</v>
      </c>
      <c r="AD15" s="56">
        <v>0.96</v>
      </c>
      <c r="AE15" s="56">
        <v>0.99</v>
      </c>
      <c r="AF15" s="57">
        <v>1.0327</v>
      </c>
      <c r="AG15" s="57">
        <v>1.0641</v>
      </c>
      <c r="AH15" s="56">
        <v>1.1299999999999999</v>
      </c>
      <c r="AI15" s="56">
        <v>1.17</v>
      </c>
      <c r="AJ15" s="56">
        <v>1.34</v>
      </c>
      <c r="AK15" s="56">
        <v>1.18</v>
      </c>
      <c r="AL15" s="58">
        <v>1.181</v>
      </c>
      <c r="AM15" s="58">
        <v>1.0720000000000001</v>
      </c>
      <c r="AN15" s="56">
        <v>1.1100000000000001</v>
      </c>
      <c r="AO15" s="56">
        <v>1.1499999999999999</v>
      </c>
      <c r="AP15" s="95">
        <v>1.4482945294610925</v>
      </c>
      <c r="AQ15" s="95">
        <v>1.447962305493234</v>
      </c>
      <c r="AR15" s="39">
        <v>127.19</v>
      </c>
      <c r="AS15" s="39">
        <v>121.02</v>
      </c>
      <c r="AT15" s="39">
        <v>149.99</v>
      </c>
      <c r="AU15" s="39">
        <v>139.47999999999999</v>
      </c>
      <c r="AV15" s="57">
        <v>3.9666999999999999</v>
      </c>
      <c r="AW15" s="57">
        <v>0.4783</v>
      </c>
      <c r="AX15" s="56">
        <v>1.2</v>
      </c>
      <c r="AY15" s="56">
        <v>1.1000000000000001</v>
      </c>
      <c r="AZ15" s="59">
        <v>0.9</v>
      </c>
      <c r="BA15" s="39">
        <v>0.96</v>
      </c>
      <c r="BB15" s="57">
        <v>1.1319999999999999</v>
      </c>
      <c r="BC15" s="57">
        <v>1.081</v>
      </c>
      <c r="BD15" s="57">
        <v>0.91790000000000005</v>
      </c>
      <c r="BE15" s="57">
        <v>0.95120000000000005</v>
      </c>
      <c r="BF15" s="57">
        <v>0.97570000000000001</v>
      </c>
      <c r="BG15" s="57">
        <v>1.026</v>
      </c>
      <c r="BH15" s="57">
        <v>1.109</v>
      </c>
      <c r="BI15" s="57">
        <v>1.1954</v>
      </c>
      <c r="BJ15" s="56">
        <v>1.1299999999999999</v>
      </c>
      <c r="BK15" s="56">
        <v>1.07</v>
      </c>
      <c r="BL15" s="39"/>
      <c r="BM15" s="39"/>
      <c r="BN15" s="57">
        <v>1.1691</v>
      </c>
      <c r="BO15" s="57">
        <v>1.0714999999999999</v>
      </c>
    </row>
    <row r="16" spans="1:67" ht="30" x14ac:dyDescent="0.25">
      <c r="A16" s="38" t="s">
        <v>222</v>
      </c>
      <c r="B16" s="39">
        <v>0.73</v>
      </c>
      <c r="C16" s="39">
        <v>0.77</v>
      </c>
      <c r="D16" s="56">
        <v>1.75</v>
      </c>
      <c r="E16" s="56">
        <v>0.77</v>
      </c>
      <c r="F16" s="59">
        <v>4214</v>
      </c>
      <c r="G16" s="59">
        <v>2.85</v>
      </c>
      <c r="H16" s="59">
        <v>2.38</v>
      </c>
      <c r="I16" s="59">
        <v>0.91</v>
      </c>
      <c r="J16" s="56">
        <v>5.4</v>
      </c>
      <c r="K16" s="56">
        <v>1.92</v>
      </c>
      <c r="L16" s="39">
        <v>7.44</v>
      </c>
      <c r="M16" s="39">
        <v>2.72</v>
      </c>
      <c r="N16" s="39">
        <v>-1.07</v>
      </c>
      <c r="O16" s="39">
        <v>2.59</v>
      </c>
      <c r="P16" s="56">
        <v>2.68</v>
      </c>
      <c r="Q16" s="56">
        <v>0.83</v>
      </c>
      <c r="R16" s="59">
        <v>21.85</v>
      </c>
      <c r="S16" s="59">
        <v>1.06</v>
      </c>
      <c r="T16" s="39">
        <v>2.41</v>
      </c>
      <c r="U16" s="59">
        <v>1.21</v>
      </c>
      <c r="V16" s="59">
        <v>10.76</v>
      </c>
      <c r="W16" s="39">
        <v>10.76</v>
      </c>
      <c r="X16" s="60">
        <v>6.81</v>
      </c>
      <c r="Y16" s="60">
        <v>2.23</v>
      </c>
      <c r="Z16" s="39">
        <v>2.23</v>
      </c>
      <c r="AA16" s="39">
        <v>0.98</v>
      </c>
      <c r="AB16" s="39">
        <v>1.94</v>
      </c>
      <c r="AC16" s="39">
        <v>1.94</v>
      </c>
      <c r="AD16" s="39">
        <v>8.3000000000000007</v>
      </c>
      <c r="AE16" s="39">
        <v>3.05</v>
      </c>
      <c r="AF16" s="39"/>
      <c r="AG16" s="39">
        <v>2.08</v>
      </c>
      <c r="AH16" s="39">
        <v>3.48</v>
      </c>
      <c r="AI16" s="39">
        <v>1.41</v>
      </c>
      <c r="AJ16" s="39">
        <v>5.16</v>
      </c>
      <c r="AK16" s="39">
        <v>1.9</v>
      </c>
      <c r="AL16" s="59">
        <v>6.59</v>
      </c>
      <c r="AM16" s="59">
        <v>3.46</v>
      </c>
      <c r="AN16" s="39">
        <v>2.58</v>
      </c>
      <c r="AO16" s="39">
        <v>0.91</v>
      </c>
      <c r="AP16" s="59">
        <v>9.822590391775309</v>
      </c>
      <c r="AQ16" s="59">
        <v>2.9093139152442107</v>
      </c>
      <c r="AR16" s="39">
        <v>6.19</v>
      </c>
      <c r="AS16" s="39">
        <v>2.0499999999999998</v>
      </c>
      <c r="AT16" s="39">
        <v>0.33</v>
      </c>
      <c r="AU16" s="39">
        <v>2.3199999999999998</v>
      </c>
      <c r="AV16" s="57">
        <v>8.4739000000000004</v>
      </c>
      <c r="AW16" s="57">
        <v>2.7913000000000001</v>
      </c>
      <c r="AX16" s="59">
        <v>8.6300000000000008</v>
      </c>
      <c r="AY16" s="59">
        <v>2.4</v>
      </c>
      <c r="AZ16" s="39">
        <v>2.13</v>
      </c>
      <c r="BA16" s="39">
        <v>0.78</v>
      </c>
      <c r="BB16" s="39">
        <v>2.34</v>
      </c>
      <c r="BC16" s="39">
        <v>2.34</v>
      </c>
      <c r="BD16" s="39">
        <v>6.07</v>
      </c>
      <c r="BE16" s="39">
        <v>2.2400000000000002</v>
      </c>
      <c r="BF16" s="57">
        <v>13.5962</v>
      </c>
      <c r="BG16" s="57">
        <v>4.6893000000000002</v>
      </c>
      <c r="BH16" s="57">
        <v>2.2787999999999999</v>
      </c>
      <c r="BI16" s="57">
        <v>0.86309999999999998</v>
      </c>
      <c r="BJ16" s="39">
        <v>4.21</v>
      </c>
      <c r="BK16" s="39">
        <v>1.73</v>
      </c>
      <c r="BL16" s="39"/>
      <c r="BM16" s="39"/>
      <c r="BN16" s="39">
        <v>1.87</v>
      </c>
      <c r="BO16" s="39">
        <v>1.77</v>
      </c>
    </row>
    <row r="17" spans="1:67" x14ac:dyDescent="0.25">
      <c r="A17" s="38" t="s">
        <v>223</v>
      </c>
      <c r="B17" s="39">
        <v>0.88</v>
      </c>
      <c r="C17" s="39">
        <v>1.26</v>
      </c>
      <c r="D17" s="56">
        <v>-0.6</v>
      </c>
      <c r="E17" s="56">
        <v>-2.04</v>
      </c>
      <c r="F17" s="59">
        <v>-3.32</v>
      </c>
      <c r="G17" s="59">
        <v>0.06</v>
      </c>
      <c r="H17" s="60">
        <v>-7.0000000000000007E-2</v>
      </c>
      <c r="I17" s="60">
        <v>-0.17</v>
      </c>
      <c r="J17" s="56">
        <v>0.03</v>
      </c>
      <c r="K17" s="56">
        <v>0.03</v>
      </c>
      <c r="L17" s="39">
        <v>-0.17</v>
      </c>
      <c r="M17" s="39">
        <v>-0.18</v>
      </c>
      <c r="N17" s="39">
        <v>-7.0000000000000007E-2</v>
      </c>
      <c r="O17" s="39">
        <v>-0.06</v>
      </c>
      <c r="P17" s="56">
        <v>-0.51</v>
      </c>
      <c r="Q17" s="56">
        <v>-0.57999999999999996</v>
      </c>
      <c r="R17" s="59">
        <v>-1.4</v>
      </c>
      <c r="S17" s="59">
        <v>-0.51</v>
      </c>
      <c r="T17" s="39">
        <v>-2.41</v>
      </c>
      <c r="U17" s="59">
        <v>-3.77</v>
      </c>
      <c r="V17" s="57">
        <v>3.3500000000000002E-2</v>
      </c>
      <c r="W17" s="57">
        <v>-0.70189999999999997</v>
      </c>
      <c r="X17" s="60">
        <v>-0.06</v>
      </c>
      <c r="Y17" s="60">
        <v>-0.06</v>
      </c>
      <c r="Z17" s="39">
        <v>-0.27</v>
      </c>
      <c r="AA17" s="39">
        <v>-0.37</v>
      </c>
      <c r="AB17" s="39">
        <v>0.01</v>
      </c>
      <c r="AC17" s="39">
        <v>-0.01</v>
      </c>
      <c r="AD17" s="39">
        <v>-0.01</v>
      </c>
      <c r="AE17" s="39">
        <v>-0.02</v>
      </c>
      <c r="AF17" s="57">
        <v>-2.6800000000000001E-2</v>
      </c>
      <c r="AG17" s="57">
        <v>-6.3299999999999995E-2</v>
      </c>
      <c r="AH17" s="39">
        <v>-0.32</v>
      </c>
      <c r="AI17" s="39">
        <v>-0.33</v>
      </c>
      <c r="AJ17" s="39">
        <v>-0.46</v>
      </c>
      <c r="AK17" s="39">
        <v>-0.28999999999999998</v>
      </c>
      <c r="AL17" s="60">
        <v>-0.23</v>
      </c>
      <c r="AM17" s="60">
        <v>-0.33</v>
      </c>
      <c r="AN17" s="39">
        <v>-0.16</v>
      </c>
      <c r="AO17" s="39">
        <v>-0.2</v>
      </c>
      <c r="AP17" s="59">
        <v>-0.43132473449770931</v>
      </c>
      <c r="AQ17" s="59">
        <v>-0.42505744123774025</v>
      </c>
      <c r="AR17" s="39">
        <v>-0.27</v>
      </c>
      <c r="AS17" s="39">
        <v>-0.21</v>
      </c>
      <c r="AT17" s="39">
        <v>-0.51</v>
      </c>
      <c r="AU17" s="39">
        <v>-0.41</v>
      </c>
      <c r="AV17" s="57">
        <v>-0.37169999999999997</v>
      </c>
      <c r="AW17" s="57">
        <v>-0.40910000000000002</v>
      </c>
      <c r="AX17" s="59">
        <v>-0.14000000000000001</v>
      </c>
      <c r="AY17" s="59">
        <v>-0.13</v>
      </c>
      <c r="AZ17" s="39">
        <v>0.06</v>
      </c>
      <c r="BA17" s="39">
        <v>-0.03</v>
      </c>
      <c r="BB17" s="39">
        <v>-0.09</v>
      </c>
      <c r="BC17" s="39">
        <v>-0.08</v>
      </c>
      <c r="BD17" s="39">
        <v>0.08</v>
      </c>
      <c r="BE17" s="39">
        <v>0.05</v>
      </c>
      <c r="BF17" s="57">
        <v>2.3699999999999999E-2</v>
      </c>
      <c r="BG17" s="57">
        <v>-2.6499999999999999E-2</v>
      </c>
      <c r="BH17" s="57">
        <v>-6.7500000000000004E-2</v>
      </c>
      <c r="BI17" s="57">
        <v>-0.16070000000000001</v>
      </c>
      <c r="BJ17" s="39">
        <v>-0.15</v>
      </c>
      <c r="BK17" s="39">
        <v>-0.1</v>
      </c>
      <c r="BL17" s="39"/>
      <c r="BM17" s="39"/>
      <c r="BN17" s="39">
        <v>-0.18</v>
      </c>
      <c r="BO17" s="39">
        <v>-7.0000000000000007E-2</v>
      </c>
    </row>
    <row r="18" spans="1:67" x14ac:dyDescent="0.25">
      <c r="A18" s="38" t="s">
        <v>224</v>
      </c>
      <c r="B18" s="57">
        <v>-0.88</v>
      </c>
      <c r="C18" s="57">
        <v>-1.26</v>
      </c>
      <c r="D18" s="56">
        <v>-0.55000000000000004</v>
      </c>
      <c r="E18" s="56">
        <v>-1.91</v>
      </c>
      <c r="F18" s="57">
        <v>-2.3797999999999999</v>
      </c>
      <c r="G18" s="57">
        <v>0.254</v>
      </c>
      <c r="H18" s="56">
        <v>-0.02</v>
      </c>
      <c r="I18" s="56">
        <v>-0.1</v>
      </c>
      <c r="J18" s="56">
        <v>0.14000000000000001</v>
      </c>
      <c r="K18" s="56">
        <v>0.16</v>
      </c>
      <c r="L18" s="56">
        <v>0.01</v>
      </c>
      <c r="M18" s="56">
        <v>-0.01</v>
      </c>
      <c r="N18" s="57">
        <v>8.9200000000000002E-2</v>
      </c>
      <c r="O18" s="57">
        <v>9.5799999999999996E-2</v>
      </c>
      <c r="P18" s="56">
        <v>-0.45</v>
      </c>
      <c r="Q18" s="56">
        <v>-0.51</v>
      </c>
      <c r="R18" s="56">
        <v>-1.24</v>
      </c>
      <c r="S18" s="56">
        <v>-0.43</v>
      </c>
      <c r="T18" s="56">
        <v>-2.37</v>
      </c>
      <c r="U18" s="56">
        <v>-3.74</v>
      </c>
      <c r="V18" s="57">
        <v>0.54479999999999995</v>
      </c>
      <c r="W18" s="57">
        <v>-5.8799999999999998E-2</v>
      </c>
      <c r="X18" s="56">
        <v>0.09</v>
      </c>
      <c r="Y18" s="56">
        <v>0.08</v>
      </c>
      <c r="Z18" s="57">
        <v>-0.78580000000000005</v>
      </c>
      <c r="AA18" s="57">
        <v>-0.78580000000000005</v>
      </c>
      <c r="AB18" s="57">
        <v>0.13439999999999999</v>
      </c>
      <c r="AC18" s="57">
        <v>0.1328</v>
      </c>
      <c r="AD18" s="56">
        <v>0.13</v>
      </c>
      <c r="AE18" s="56">
        <v>0.15</v>
      </c>
      <c r="AF18" s="57">
        <v>6.7699999999999996E-2</v>
      </c>
      <c r="AG18" s="57">
        <v>4.3200000000000002E-2</v>
      </c>
      <c r="AH18" s="56">
        <v>-0.21</v>
      </c>
      <c r="AI18" s="56">
        <v>-0.23</v>
      </c>
      <c r="AJ18" s="56">
        <v>-0.34</v>
      </c>
      <c r="AK18" s="56">
        <v>-0.19</v>
      </c>
      <c r="AL18" s="57">
        <v>-7.1999999999999995E-2</v>
      </c>
      <c r="AM18" s="57">
        <v>-1.6E-2</v>
      </c>
      <c r="AN18" s="56">
        <v>-0.12</v>
      </c>
      <c r="AO18" s="56">
        <v>-0.15</v>
      </c>
      <c r="AP18" s="95">
        <v>-0.14375417870297719</v>
      </c>
      <c r="AQ18" s="95">
        <v>-0.17675637994517801</v>
      </c>
      <c r="AR18" s="39">
        <v>-11.2</v>
      </c>
      <c r="AS18" s="39">
        <v>-3.52</v>
      </c>
      <c r="AT18" s="39">
        <v>-24.71</v>
      </c>
      <c r="AU18" s="39">
        <v>-9.9499999999999993</v>
      </c>
      <c r="AV18" s="57">
        <v>-0.22320000000000001</v>
      </c>
      <c r="AW18" s="57">
        <v>-0.19120000000000001</v>
      </c>
      <c r="AX18" s="56">
        <v>0.04</v>
      </c>
      <c r="AY18" s="56">
        <v>0.05</v>
      </c>
      <c r="AZ18" s="39">
        <v>0.13</v>
      </c>
      <c r="BA18" s="39">
        <v>0.04</v>
      </c>
      <c r="BB18" s="57">
        <v>0.04</v>
      </c>
      <c r="BC18" s="57">
        <v>5.5E-2</v>
      </c>
      <c r="BD18" s="57">
        <v>0.2016</v>
      </c>
      <c r="BE18" s="57">
        <v>0.17849999999999999</v>
      </c>
      <c r="BF18" s="57">
        <v>0.32029999999999997</v>
      </c>
      <c r="BG18" s="57">
        <v>0.3004</v>
      </c>
      <c r="BH18" s="57">
        <v>-3.4500000000000003E-2</v>
      </c>
      <c r="BI18" s="57">
        <v>-0.1202</v>
      </c>
      <c r="BJ18" s="56">
        <v>-0.06</v>
      </c>
      <c r="BK18" s="56">
        <v>0.02</v>
      </c>
      <c r="BL18" s="39"/>
      <c r="BM18" s="39"/>
      <c r="BN18" s="57">
        <v>-8.8300000000000003E-2</v>
      </c>
      <c r="BO18" s="57">
        <v>3.1E-2</v>
      </c>
    </row>
    <row r="19" spans="1:67" x14ac:dyDescent="0.25">
      <c r="A19" s="38" t="s">
        <v>225</v>
      </c>
      <c r="B19" s="39">
        <v>1.66</v>
      </c>
      <c r="C19" s="39">
        <v>1.66</v>
      </c>
      <c r="D19" s="56">
        <v>0.02</v>
      </c>
      <c r="E19" s="56">
        <v>0.02</v>
      </c>
      <c r="F19" s="59">
        <v>1.98</v>
      </c>
      <c r="G19" s="59">
        <v>1.98</v>
      </c>
      <c r="H19" s="59">
        <v>0.44</v>
      </c>
      <c r="I19" s="59">
        <v>0.44</v>
      </c>
      <c r="J19" s="56">
        <v>0.22</v>
      </c>
      <c r="K19" s="56">
        <v>0.22</v>
      </c>
      <c r="L19" s="39">
        <v>0.31</v>
      </c>
      <c r="M19" s="39">
        <v>0.31</v>
      </c>
      <c r="N19" s="39">
        <v>0.11</v>
      </c>
      <c r="O19" s="39">
        <v>0.13</v>
      </c>
      <c r="P19" s="56">
        <v>0.4</v>
      </c>
      <c r="Q19" s="56">
        <v>0.4</v>
      </c>
      <c r="R19" s="61">
        <v>0.36</v>
      </c>
      <c r="S19" s="61">
        <v>0.36</v>
      </c>
      <c r="T19" s="39">
        <v>0.46</v>
      </c>
      <c r="U19" s="39">
        <v>0.46</v>
      </c>
      <c r="V19" s="59">
        <v>-3.72</v>
      </c>
      <c r="W19" s="39">
        <v>0.26</v>
      </c>
      <c r="X19" s="60">
        <v>0.17</v>
      </c>
      <c r="Y19" s="60">
        <v>0.17</v>
      </c>
      <c r="Z19" s="57">
        <v>0.33539999999999998</v>
      </c>
      <c r="AA19" s="57">
        <v>0.33539999999999998</v>
      </c>
      <c r="AB19" s="39">
        <v>0.28999999999999998</v>
      </c>
      <c r="AC19" s="39">
        <v>0.28999999999999998</v>
      </c>
      <c r="AD19" s="39">
        <v>0.08</v>
      </c>
      <c r="AE19" s="39">
        <v>0.08</v>
      </c>
      <c r="AF19" s="57"/>
      <c r="AG19" s="39">
        <v>0.31</v>
      </c>
      <c r="AH19" s="39">
        <v>0.32</v>
      </c>
      <c r="AI19" s="39">
        <v>0.32</v>
      </c>
      <c r="AJ19" s="39">
        <v>0.23</v>
      </c>
      <c r="AK19" s="39">
        <v>0.23</v>
      </c>
      <c r="AL19" s="59">
        <v>0.22</v>
      </c>
      <c r="AM19" s="59">
        <v>0.22</v>
      </c>
      <c r="AN19" s="39">
        <v>0.6</v>
      </c>
      <c r="AO19" s="39">
        <v>0.6</v>
      </c>
      <c r="AP19" s="59">
        <v>0.11661696554920439</v>
      </c>
      <c r="AQ19" s="59">
        <v>0.11661696554920439</v>
      </c>
      <c r="AR19" s="39">
        <v>0.36</v>
      </c>
      <c r="AS19" s="39">
        <v>0.36</v>
      </c>
      <c r="AT19" s="39">
        <v>0.48</v>
      </c>
      <c r="AU19" s="39">
        <v>0.25</v>
      </c>
      <c r="AV19" s="57">
        <v>0.47639999999999999</v>
      </c>
      <c r="AW19" s="57">
        <v>0.47639999999999999</v>
      </c>
      <c r="AX19" s="59">
        <v>0.27</v>
      </c>
      <c r="AY19" s="59">
        <v>0.27</v>
      </c>
      <c r="AZ19" s="39">
        <v>0.46</v>
      </c>
      <c r="BA19" s="39">
        <v>0.46</v>
      </c>
      <c r="BB19" s="39">
        <v>0.41</v>
      </c>
      <c r="BC19" s="39">
        <v>0.41</v>
      </c>
      <c r="BD19" s="39">
        <v>0.28999999999999998</v>
      </c>
      <c r="BE19" s="39">
        <v>0.28999999999999998</v>
      </c>
      <c r="BF19" s="57">
        <v>0.50119999999999998</v>
      </c>
      <c r="BG19" s="57">
        <v>0.50119999999999998</v>
      </c>
      <c r="BH19" s="57">
        <v>0.31359999999999999</v>
      </c>
      <c r="BI19" s="57">
        <v>0.31359999999999999</v>
      </c>
      <c r="BJ19" s="39">
        <v>0.28000000000000003</v>
      </c>
      <c r="BK19" s="39">
        <v>0.28000000000000003</v>
      </c>
      <c r="BL19" s="39"/>
      <c r="BM19" s="39"/>
      <c r="BN19" s="39">
        <v>0.82</v>
      </c>
      <c r="BO19" s="39">
        <v>0.82</v>
      </c>
    </row>
    <row r="20" spans="1:67" x14ac:dyDescent="0.25">
      <c r="A20" s="38" t="s">
        <v>226</v>
      </c>
      <c r="B20" s="57">
        <v>-0.92</v>
      </c>
      <c r="C20" s="57">
        <v>-1.23</v>
      </c>
      <c r="D20" s="56">
        <v>-0.4</v>
      </c>
      <c r="E20" s="56">
        <v>-0.64</v>
      </c>
      <c r="F20" s="57">
        <v>-127.48099999999999</v>
      </c>
      <c r="G20" s="57">
        <v>0.24099999999999999</v>
      </c>
      <c r="H20" s="56">
        <v>-0.03</v>
      </c>
      <c r="I20" s="56">
        <v>-0.1</v>
      </c>
      <c r="J20" s="56">
        <v>0.11</v>
      </c>
      <c r="K20" s="56">
        <v>0.12</v>
      </c>
      <c r="L20" s="56">
        <v>-0.01</v>
      </c>
      <c r="M20" s="56">
        <v>0</v>
      </c>
      <c r="N20" s="57">
        <v>7.3899999999999993E-2</v>
      </c>
      <c r="O20" s="57">
        <v>6.5199999999999994E-2</v>
      </c>
      <c r="P20" s="56">
        <v>-0.38</v>
      </c>
      <c r="Q20" s="56">
        <v>-0.41</v>
      </c>
      <c r="R20" s="56">
        <v>-2.77</v>
      </c>
      <c r="S20" s="56">
        <v>-0.21</v>
      </c>
      <c r="T20" s="56">
        <v>-2.04</v>
      </c>
      <c r="U20" s="56">
        <v>-3.27</v>
      </c>
      <c r="V20" s="57">
        <v>0.49390000000000001</v>
      </c>
      <c r="W20" s="57">
        <v>0.318</v>
      </c>
      <c r="X20" s="96">
        <v>0.06</v>
      </c>
      <c r="Y20" s="56">
        <v>0.08</v>
      </c>
      <c r="Z20" s="57">
        <v>-0.69379999999999997</v>
      </c>
      <c r="AA20" s="57">
        <v>-0.69379999999999997</v>
      </c>
      <c r="AB20" s="57">
        <v>9.2200000000000004E-2</v>
      </c>
      <c r="AC20" s="57">
        <v>0.10780000000000001</v>
      </c>
      <c r="AD20" s="56">
        <v>0.11</v>
      </c>
      <c r="AE20" s="56">
        <v>0.13</v>
      </c>
      <c r="AF20" s="57">
        <v>6.3500000000000001E-2</v>
      </c>
      <c r="AG20" s="57">
        <v>0.05</v>
      </c>
      <c r="AH20" s="56">
        <v>-0.13</v>
      </c>
      <c r="AI20" s="56">
        <v>-0.14000000000000001</v>
      </c>
      <c r="AJ20" s="56">
        <v>-0.31</v>
      </c>
      <c r="AK20" s="56">
        <v>-0.16</v>
      </c>
      <c r="AL20" s="57">
        <v>-3.7999999999999999E-2</v>
      </c>
      <c r="AM20" s="57">
        <v>1.7999999999999999E-2</v>
      </c>
      <c r="AN20" s="56">
        <v>-0.1</v>
      </c>
      <c r="AO20" s="56">
        <v>-0.12</v>
      </c>
      <c r="AP20" s="95">
        <v>-0.14224366075105047</v>
      </c>
      <c r="AQ20" s="95">
        <v>-0.16912721622058424</v>
      </c>
      <c r="AR20" s="39">
        <v>-2.13</v>
      </c>
      <c r="AS20" s="39">
        <v>5.28</v>
      </c>
      <c r="AT20" s="39">
        <v>-20.3</v>
      </c>
      <c r="AU20" s="39">
        <v>-8.14</v>
      </c>
      <c r="AV20" s="57">
        <v>-0.3649</v>
      </c>
      <c r="AW20" s="57">
        <v>-0.18590000000000001</v>
      </c>
      <c r="AX20" s="56">
        <v>0.04</v>
      </c>
      <c r="AY20" s="56">
        <v>0.05</v>
      </c>
      <c r="AZ20" s="39">
        <v>0.13</v>
      </c>
      <c r="BA20" s="39">
        <v>0.04</v>
      </c>
      <c r="BB20" s="57">
        <v>5.1999999999999998E-2</v>
      </c>
      <c r="BC20" s="57">
        <v>5.7000000000000002E-2</v>
      </c>
      <c r="BD20" s="57">
        <v>0.1341</v>
      </c>
      <c r="BE20" s="57">
        <v>0.17030000000000001</v>
      </c>
      <c r="BF20" s="57">
        <v>0.22789999999999999</v>
      </c>
      <c r="BG20" s="57">
        <v>0.21709999999999999</v>
      </c>
      <c r="BH20" s="57">
        <v>-1.54E-2</v>
      </c>
      <c r="BI20" s="57">
        <v>-9.5699999999999993E-2</v>
      </c>
      <c r="BJ20" s="56">
        <v>-0.02</v>
      </c>
      <c r="BK20" s="56">
        <v>0.03</v>
      </c>
      <c r="BL20" s="39"/>
      <c r="BM20" s="39"/>
      <c r="BN20" s="57">
        <v>-6.0400000000000002E-2</v>
      </c>
      <c r="BO20" s="57">
        <v>2.93E-2</v>
      </c>
    </row>
    <row r="21" spans="1:67" x14ac:dyDescent="0.25">
      <c r="A21" s="38" t="s">
        <v>227</v>
      </c>
      <c r="B21" s="57">
        <v>-0.44629999999999997</v>
      </c>
      <c r="C21" s="57">
        <v>-0.76400000000000001</v>
      </c>
      <c r="D21" s="56">
        <v>-0.39</v>
      </c>
      <c r="E21" s="56">
        <v>-1.4</v>
      </c>
      <c r="F21" s="57">
        <v>-3.1600000000000003E-2</v>
      </c>
      <c r="G21" s="57">
        <v>8.8599999999999998E-2</v>
      </c>
      <c r="H21" s="56">
        <v>-0.03</v>
      </c>
      <c r="I21" s="56">
        <v>-0.32</v>
      </c>
      <c r="J21" s="56">
        <v>0.04</v>
      </c>
      <c r="K21" s="56">
        <v>0.14000000000000001</v>
      </c>
      <c r="L21" s="56">
        <v>-0.01</v>
      </c>
      <c r="M21" s="56">
        <v>0</v>
      </c>
      <c r="N21" s="57">
        <v>3.6400000000000002E-2</v>
      </c>
      <c r="O21" s="57">
        <v>0.1067</v>
      </c>
      <c r="P21" s="56">
        <v>-0.31</v>
      </c>
      <c r="Q21" s="56">
        <v>-1.06</v>
      </c>
      <c r="R21" s="56">
        <v>-0.14000000000000001</v>
      </c>
      <c r="S21" s="56">
        <v>-0.21</v>
      </c>
      <c r="T21" s="56">
        <v>-0.17</v>
      </c>
      <c r="U21" s="56">
        <v>-0.38</v>
      </c>
      <c r="V21" s="57">
        <v>4.36E-2</v>
      </c>
      <c r="W21" s="57">
        <v>4.36E-2</v>
      </c>
      <c r="X21" s="96">
        <v>0.03</v>
      </c>
      <c r="Y21" s="56">
        <v>0.13</v>
      </c>
      <c r="Z21" s="57">
        <v>-0.1227</v>
      </c>
      <c r="AA21" s="57">
        <v>-0.36890000000000001</v>
      </c>
      <c r="AB21" s="57">
        <v>0.16389999999999999</v>
      </c>
      <c r="AC21" s="57">
        <v>0.16389999999999999</v>
      </c>
      <c r="AD21" s="56">
        <v>0.05</v>
      </c>
      <c r="AE21" s="56">
        <v>0.16</v>
      </c>
      <c r="AF21" s="39"/>
      <c r="AG21" s="57">
        <v>6.8000000000000005E-2</v>
      </c>
      <c r="AH21" s="56">
        <v>-0.08</v>
      </c>
      <c r="AI21" s="56">
        <v>-0.23</v>
      </c>
      <c r="AJ21" s="56">
        <v>-0.16</v>
      </c>
      <c r="AK21" s="56">
        <v>-0.17</v>
      </c>
      <c r="AL21" s="57">
        <v>-0.02</v>
      </c>
      <c r="AM21" s="57">
        <v>1.9E-2</v>
      </c>
      <c r="AN21" s="56">
        <v>-0.08</v>
      </c>
      <c r="AO21" s="56">
        <v>-0.25</v>
      </c>
      <c r="AP21" s="95">
        <v>-0.50877692740877101</v>
      </c>
      <c r="AQ21" s="95">
        <v>-2.0424123975471598</v>
      </c>
      <c r="AR21" s="39">
        <v>-2.81</v>
      </c>
      <c r="AS21" s="39">
        <v>7.21</v>
      </c>
      <c r="AT21" s="39">
        <v>-100</v>
      </c>
      <c r="AU21" s="39">
        <v>-25.13</v>
      </c>
      <c r="AV21" s="57">
        <v>-3.73E-2</v>
      </c>
      <c r="AW21" s="57">
        <v>-5.7700000000000001E-2</v>
      </c>
      <c r="AX21" s="56">
        <v>0.02</v>
      </c>
      <c r="AY21" s="56">
        <v>0.1</v>
      </c>
      <c r="AZ21" s="39">
        <v>0.11</v>
      </c>
      <c r="BA21" s="39">
        <v>0.08</v>
      </c>
      <c r="BB21" s="57">
        <v>2.3E-2</v>
      </c>
      <c r="BC21" s="57">
        <v>8.4000000000000005E-2</v>
      </c>
      <c r="BD21" s="57">
        <v>4.9299999999999997E-2</v>
      </c>
      <c r="BE21" s="57">
        <v>0.1699</v>
      </c>
      <c r="BF21" s="57">
        <v>7.3099999999999998E-2</v>
      </c>
      <c r="BG21" s="57">
        <v>0.20119999999999999</v>
      </c>
      <c r="BH21" s="57">
        <v>-1.3599999999999999E-2</v>
      </c>
      <c r="BI21" s="57">
        <v>-0.22259999999999999</v>
      </c>
      <c r="BJ21" s="56">
        <v>-0.01</v>
      </c>
      <c r="BK21" s="56">
        <v>0.05</v>
      </c>
      <c r="BL21" s="39"/>
      <c r="BM21" s="39"/>
      <c r="BN21" s="57">
        <v>-3.6400000000000002E-2</v>
      </c>
      <c r="BO21" s="57">
        <v>3.5700000000000003E-2</v>
      </c>
    </row>
    <row r="22" spans="1:67" x14ac:dyDescent="0.25">
      <c r="A22" s="38" t="s">
        <v>309</v>
      </c>
      <c r="B22" s="57"/>
      <c r="C22" s="57"/>
      <c r="D22" s="56"/>
      <c r="E22" s="56"/>
      <c r="F22" s="57"/>
      <c r="G22" s="57"/>
      <c r="H22" s="56"/>
      <c r="I22" s="56"/>
      <c r="J22" s="56"/>
      <c r="K22" s="56"/>
      <c r="L22" s="56"/>
      <c r="M22" s="56"/>
      <c r="N22" s="57"/>
      <c r="O22" s="57"/>
      <c r="P22" s="56"/>
      <c r="Q22" s="56"/>
      <c r="R22" s="56"/>
      <c r="S22" s="56"/>
      <c r="T22" s="56"/>
      <c r="U22" s="56"/>
      <c r="V22" s="57"/>
      <c r="W22" s="57"/>
      <c r="X22" s="39"/>
      <c r="Y22" s="39"/>
      <c r="Z22" s="57"/>
      <c r="AA22" s="57"/>
      <c r="AB22" s="57"/>
      <c r="AC22" s="57"/>
      <c r="AD22" s="56"/>
      <c r="AE22" s="56"/>
      <c r="AF22" s="39"/>
      <c r="AG22" s="57"/>
      <c r="AH22" s="56"/>
      <c r="AI22" s="56"/>
      <c r="AJ22" s="56"/>
      <c r="AK22" s="56"/>
      <c r="AL22" s="57"/>
      <c r="AM22" s="57"/>
      <c r="AN22" s="56">
        <v>0.24</v>
      </c>
      <c r="AO22" s="56">
        <v>0.24</v>
      </c>
      <c r="AP22" s="39"/>
      <c r="AR22" s="39"/>
      <c r="AS22" s="39"/>
      <c r="AT22" s="39"/>
      <c r="AU22" s="39"/>
      <c r="AV22" s="57"/>
      <c r="AW22" s="57"/>
      <c r="AX22" s="56"/>
      <c r="AY22" s="56"/>
      <c r="AZ22" s="39"/>
      <c r="BA22" s="39"/>
      <c r="BB22" s="57"/>
      <c r="BC22" s="57"/>
      <c r="BD22" s="57"/>
      <c r="BE22" s="57"/>
      <c r="BF22" s="57"/>
      <c r="BG22" s="57"/>
      <c r="BH22" s="57"/>
      <c r="BI22" s="57"/>
      <c r="BJ22" s="56"/>
      <c r="BK22" s="56"/>
      <c r="BL22" s="39"/>
      <c r="BM22" s="39"/>
      <c r="BN22" s="57"/>
      <c r="BO22" s="57"/>
    </row>
    <row r="23" spans="1:67" ht="45" x14ac:dyDescent="0.25">
      <c r="A23" s="38" t="s">
        <v>228</v>
      </c>
      <c r="B23" s="39">
        <v>2.11</v>
      </c>
      <c r="C23" s="39">
        <v>2.11</v>
      </c>
      <c r="D23" s="59">
        <v>1.77</v>
      </c>
      <c r="E23" s="59">
        <v>1.77</v>
      </c>
      <c r="F23" s="59">
        <v>2.37</v>
      </c>
      <c r="G23" s="59">
        <v>2.37</v>
      </c>
      <c r="H23" s="59">
        <v>1.55</v>
      </c>
      <c r="I23" s="59">
        <v>1.55</v>
      </c>
      <c r="J23" s="56">
        <v>2.81</v>
      </c>
      <c r="K23" s="56">
        <v>2.81</v>
      </c>
      <c r="L23" s="39">
        <v>1.77</v>
      </c>
      <c r="M23" s="39">
        <v>1.77</v>
      </c>
      <c r="N23" s="39">
        <v>1.64</v>
      </c>
      <c r="O23" s="39">
        <v>1.64</v>
      </c>
      <c r="P23" s="56">
        <v>1.91</v>
      </c>
      <c r="Q23" s="56">
        <v>1.91</v>
      </c>
      <c r="R23" s="59">
        <v>2.59</v>
      </c>
      <c r="S23" s="59">
        <v>2.59</v>
      </c>
      <c r="T23" s="39">
        <v>2.02</v>
      </c>
      <c r="U23" s="39">
        <v>2.02</v>
      </c>
      <c r="V23" s="39"/>
      <c r="W23" s="39">
        <v>11.52</v>
      </c>
      <c r="X23" s="60">
        <v>1.69</v>
      </c>
      <c r="Y23" s="60">
        <v>1.69</v>
      </c>
      <c r="Z23" s="39">
        <v>3.38</v>
      </c>
      <c r="AA23" s="39">
        <v>3.38</v>
      </c>
      <c r="AB23" s="39">
        <v>1.92</v>
      </c>
      <c r="AC23" s="39">
        <v>1.92</v>
      </c>
      <c r="AD23" s="39">
        <v>2.12</v>
      </c>
      <c r="AE23" s="39">
        <v>2.12</v>
      </c>
      <c r="AF23" s="39"/>
      <c r="AG23" s="39">
        <v>1.6</v>
      </c>
      <c r="AH23" s="39">
        <v>2.15</v>
      </c>
      <c r="AI23" s="39">
        <v>2.15</v>
      </c>
      <c r="AJ23" s="39">
        <v>2.57</v>
      </c>
      <c r="AK23" s="39">
        <v>2.57</v>
      </c>
      <c r="AL23" s="59">
        <v>1.77</v>
      </c>
      <c r="AM23" s="59">
        <v>1.77</v>
      </c>
      <c r="AN23" s="39">
        <v>1.76</v>
      </c>
      <c r="AO23" s="39">
        <v>1.76</v>
      </c>
      <c r="AP23" s="39"/>
      <c r="AQ23" s="59">
        <v>1.0112466727778078</v>
      </c>
      <c r="AR23" s="39">
        <v>2.25</v>
      </c>
      <c r="AS23" s="39">
        <v>2.25</v>
      </c>
      <c r="AT23" s="39">
        <v>-3.32</v>
      </c>
      <c r="AU23" s="39">
        <v>1.21</v>
      </c>
      <c r="AV23" s="39">
        <v>4.04</v>
      </c>
      <c r="AW23" s="39">
        <v>4.04</v>
      </c>
      <c r="AX23" s="59">
        <v>1.64</v>
      </c>
      <c r="AY23" s="59">
        <v>1.64</v>
      </c>
      <c r="AZ23" s="62">
        <v>1.53</v>
      </c>
      <c r="BA23" s="62">
        <v>1.53</v>
      </c>
      <c r="BB23" s="39">
        <v>1.94</v>
      </c>
      <c r="BC23" s="39">
        <v>1.94</v>
      </c>
      <c r="BD23" s="39">
        <v>2.33</v>
      </c>
      <c r="BE23" s="39">
        <v>2.33</v>
      </c>
      <c r="BF23" s="39">
        <v>2.85</v>
      </c>
      <c r="BG23" s="39">
        <v>2.85</v>
      </c>
      <c r="BH23" s="39"/>
      <c r="BI23" s="39">
        <v>1.65</v>
      </c>
      <c r="BJ23" s="39">
        <v>1.75</v>
      </c>
      <c r="BK23" s="39">
        <v>1.75</v>
      </c>
      <c r="BL23" s="39"/>
      <c r="BM23" s="39"/>
      <c r="BN23" s="39">
        <v>1.76</v>
      </c>
      <c r="BO23" s="39">
        <v>1.76</v>
      </c>
    </row>
    <row r="24" spans="1:67" x14ac:dyDescent="0.25">
      <c r="A24" s="38" t="s">
        <v>229</v>
      </c>
      <c r="B24" s="39"/>
      <c r="C24" s="39"/>
      <c r="D24" s="39"/>
      <c r="E24" s="39"/>
      <c r="F24" s="59"/>
      <c r="G24" s="59"/>
      <c r="H24" s="39"/>
      <c r="I24" s="39"/>
      <c r="J24" s="39"/>
      <c r="K24" s="39"/>
      <c r="L24" s="39"/>
      <c r="M24" s="39"/>
      <c r="N24" s="39"/>
      <c r="O24" s="39"/>
      <c r="P24" s="56">
        <v>0</v>
      </c>
      <c r="Q24" s="56">
        <v>0</v>
      </c>
      <c r="R24" s="60"/>
      <c r="S24" s="60"/>
      <c r="T24" s="60"/>
      <c r="U24" s="60"/>
      <c r="V24" s="57"/>
      <c r="W24" s="39"/>
      <c r="X24" s="39"/>
      <c r="Y24" s="39"/>
      <c r="Z24" s="39"/>
      <c r="AA24" s="39"/>
      <c r="AB24" s="60"/>
      <c r="AC24" s="60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57">
        <v>1.1299999999999999E-2</v>
      </c>
      <c r="BO24" s="57">
        <v>1.1299999999999999E-2</v>
      </c>
    </row>
    <row r="25" spans="1:67" x14ac:dyDescent="0.25">
      <c r="A25" s="38" t="s">
        <v>154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56">
        <v>0</v>
      </c>
      <c r="Q25" s="56">
        <v>0</v>
      </c>
      <c r="R25" s="60"/>
      <c r="S25" s="60"/>
      <c r="T25" s="39"/>
      <c r="U25" s="39"/>
      <c r="V25" s="39"/>
      <c r="W25" s="39"/>
      <c r="X25" s="60">
        <v>1.0900000000000001</v>
      </c>
      <c r="Y25" s="60">
        <v>1.0900000000000001</v>
      </c>
      <c r="Z25" s="39"/>
      <c r="AA25" s="39"/>
      <c r="AB25" s="60"/>
      <c r="AC25" s="60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95">
        <v>1.37E-2</v>
      </c>
      <c r="AR25" s="39">
        <v>0.24</v>
      </c>
      <c r="AS25" s="39">
        <v>0.24</v>
      </c>
      <c r="AT25" s="39">
        <v>2.06</v>
      </c>
      <c r="AU25" s="39">
        <v>2.23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</row>
    <row r="26" spans="1:67" x14ac:dyDescent="0.25">
      <c r="A26" s="38" t="s">
        <v>155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60">
        <v>0.98</v>
      </c>
      <c r="Y26" s="60">
        <v>0.98</v>
      </c>
      <c r="Z26" s="39"/>
      <c r="AA26" s="39"/>
      <c r="AB26" s="60"/>
      <c r="AC26" s="60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95">
        <v>4.7399999999999998E-2</v>
      </c>
      <c r="AR26" s="39">
        <v>0</v>
      </c>
      <c r="AS26" s="39">
        <v>0</v>
      </c>
      <c r="AT26" s="39">
        <v>1.87</v>
      </c>
      <c r="AU26" s="39">
        <v>1.87</v>
      </c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</row>
  </sheetData>
  <mergeCells count="33">
    <mergeCell ref="BJ3:BK3"/>
    <mergeCell ref="BL3:BM3"/>
    <mergeCell ref="BN3:BO3"/>
    <mergeCell ref="AX3:AY3"/>
    <mergeCell ref="AZ3:BA3"/>
    <mergeCell ref="BB3:BC3"/>
    <mergeCell ref="BD3:BE3"/>
    <mergeCell ref="BF3:BG3"/>
    <mergeCell ref="BH3:BI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B3" sqref="B3"/>
    </sheetView>
  </sheetViews>
  <sheetFormatPr defaultRowHeight="15" x14ac:dyDescent="0.25"/>
  <cols>
    <col min="1" max="1" width="42" style="4" customWidth="1"/>
    <col min="2" max="34" width="16" style="4" customWidth="1"/>
    <col min="35" max="16384" width="9.140625" style="4"/>
  </cols>
  <sheetData>
    <row r="1" spans="1:34" ht="18.75" x14ac:dyDescent="0.3">
      <c r="A1" s="42" t="s">
        <v>324</v>
      </c>
    </row>
    <row r="2" spans="1:34" ht="18.75" x14ac:dyDescent="0.3">
      <c r="A2" s="42" t="s">
        <v>324</v>
      </c>
    </row>
    <row r="3" spans="1:34" x14ac:dyDescent="0.25">
      <c r="A3" s="4" t="s">
        <v>320</v>
      </c>
    </row>
    <row r="4" spans="1:34" s="22" customFormat="1" x14ac:dyDescent="0.25">
      <c r="A4" s="27" t="s">
        <v>0</v>
      </c>
      <c r="B4" s="79" t="s">
        <v>1</v>
      </c>
      <c r="C4" s="79" t="s">
        <v>2</v>
      </c>
      <c r="D4" s="79" t="s">
        <v>3</v>
      </c>
      <c r="E4" s="79" t="s">
        <v>4</v>
      </c>
      <c r="F4" s="79" t="s">
        <v>5</v>
      </c>
      <c r="G4" s="79" t="s">
        <v>6</v>
      </c>
      <c r="H4" s="79" t="s">
        <v>7</v>
      </c>
      <c r="I4" s="79" t="s">
        <v>8</v>
      </c>
      <c r="J4" s="79" t="s">
        <v>9</v>
      </c>
      <c r="K4" s="79" t="s">
        <v>10</v>
      </c>
      <c r="L4" s="79" t="s">
        <v>11</v>
      </c>
      <c r="M4" s="79" t="s">
        <v>12</v>
      </c>
      <c r="N4" s="79" t="s">
        <v>13</v>
      </c>
      <c r="O4" s="79" t="s">
        <v>14</v>
      </c>
      <c r="P4" s="79" t="s">
        <v>15</v>
      </c>
      <c r="Q4" s="79" t="s">
        <v>16</v>
      </c>
      <c r="R4" s="79" t="s">
        <v>17</v>
      </c>
      <c r="S4" s="79" t="s">
        <v>18</v>
      </c>
      <c r="T4" s="79" t="s">
        <v>19</v>
      </c>
      <c r="U4" s="79" t="s">
        <v>20</v>
      </c>
      <c r="V4" s="79" t="s">
        <v>21</v>
      </c>
      <c r="W4" s="79" t="s">
        <v>161</v>
      </c>
      <c r="X4" s="79" t="s">
        <v>162</v>
      </c>
      <c r="Y4" s="79" t="s">
        <v>22</v>
      </c>
      <c r="Z4" s="79" t="s">
        <v>23</v>
      </c>
      <c r="AA4" s="79" t="s">
        <v>24</v>
      </c>
      <c r="AB4" s="79" t="s">
        <v>25</v>
      </c>
      <c r="AC4" s="79" t="s">
        <v>26</v>
      </c>
      <c r="AD4" s="79" t="s">
        <v>27</v>
      </c>
      <c r="AE4" s="79" t="s">
        <v>28</v>
      </c>
      <c r="AF4" s="79" t="s">
        <v>29</v>
      </c>
      <c r="AG4" s="79" t="s">
        <v>30</v>
      </c>
      <c r="AH4" s="79" t="s">
        <v>31</v>
      </c>
    </row>
    <row r="5" spans="1:34" x14ac:dyDescent="0.25">
      <c r="A5" s="25" t="s">
        <v>337</v>
      </c>
      <c r="B5" s="21">
        <v>7545.02808</v>
      </c>
      <c r="C5" s="21">
        <v>37117.17</v>
      </c>
      <c r="D5" s="21">
        <v>888019</v>
      </c>
      <c r="E5" s="21">
        <v>112774</v>
      </c>
      <c r="F5" s="21">
        <v>1314466</v>
      </c>
      <c r="G5" s="21">
        <v>383705</v>
      </c>
      <c r="H5" s="21">
        <v>711866.45</v>
      </c>
      <c r="I5" s="21">
        <v>32663.39</v>
      </c>
      <c r="J5" s="21">
        <v>26480</v>
      </c>
      <c r="K5" s="21">
        <v>4221</v>
      </c>
      <c r="L5" s="21">
        <v>686576.71</v>
      </c>
      <c r="M5" s="21">
        <v>350926</v>
      </c>
      <c r="N5" s="21">
        <v>65728</v>
      </c>
      <c r="O5" s="21">
        <v>832726.5</v>
      </c>
      <c r="P5" s="21">
        <v>2564048</v>
      </c>
      <c r="Q5" s="21">
        <v>653706.81000000006</v>
      </c>
      <c r="R5" s="21">
        <v>27874</v>
      </c>
      <c r="S5" s="21">
        <v>122096</v>
      </c>
      <c r="T5" s="21">
        <v>118939</v>
      </c>
      <c r="U5" s="21">
        <v>45893</v>
      </c>
      <c r="V5" s="21">
        <v>2943503.64</v>
      </c>
      <c r="W5" s="21">
        <v>3366060.07</v>
      </c>
      <c r="X5" s="21">
        <v>2251463</v>
      </c>
      <c r="Y5" s="21">
        <v>23027</v>
      </c>
      <c r="Z5" s="21">
        <v>901571</v>
      </c>
      <c r="AA5" s="21">
        <v>114288</v>
      </c>
      <c r="AB5" s="21">
        <v>451184</v>
      </c>
      <c r="AC5" s="21">
        <v>494996</v>
      </c>
      <c r="AD5" s="21">
        <v>806833</v>
      </c>
      <c r="AE5" s="21">
        <v>234107.05</v>
      </c>
      <c r="AF5" s="21">
        <v>898588</v>
      </c>
      <c r="AG5" s="21"/>
      <c r="AH5" s="21">
        <v>370499</v>
      </c>
    </row>
    <row r="6" spans="1:34" x14ac:dyDescent="0.25">
      <c r="A6" s="25" t="s">
        <v>326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>
        <v>720387</v>
      </c>
      <c r="AE6" s="21"/>
      <c r="AF6" s="21"/>
      <c r="AG6" s="21"/>
      <c r="AH6" s="21"/>
    </row>
    <row r="7" spans="1:34" ht="15" customHeight="1" x14ac:dyDescent="0.25">
      <c r="A7" s="25" t="s">
        <v>327</v>
      </c>
      <c r="B7" s="21">
        <v>4210.5579299999999</v>
      </c>
      <c r="C7" s="21">
        <v>22874.57</v>
      </c>
      <c r="D7" s="21">
        <v>381644</v>
      </c>
      <c r="E7" s="21"/>
      <c r="F7" s="21">
        <v>1075034</v>
      </c>
      <c r="G7" s="21">
        <v>292596</v>
      </c>
      <c r="H7" s="21">
        <v>477284.35</v>
      </c>
      <c r="I7" s="21"/>
      <c r="J7" s="21">
        <v>14919</v>
      </c>
      <c r="K7" s="21">
        <v>5253</v>
      </c>
      <c r="L7" s="21">
        <v>650934.6</v>
      </c>
      <c r="M7" s="21"/>
      <c r="N7" s="21"/>
      <c r="O7" s="21"/>
      <c r="P7" s="21">
        <v>2156343</v>
      </c>
      <c r="Q7" s="21"/>
      <c r="R7" s="21"/>
      <c r="S7" s="21">
        <v>108787</v>
      </c>
      <c r="T7" s="21">
        <v>87776</v>
      </c>
      <c r="U7" s="21">
        <v>33812</v>
      </c>
      <c r="V7" s="21"/>
      <c r="W7" s="21">
        <v>3296054.95</v>
      </c>
      <c r="X7" s="21">
        <v>1805729</v>
      </c>
      <c r="Y7" s="21"/>
      <c r="Z7" s="21">
        <v>697667</v>
      </c>
      <c r="AA7" s="21">
        <v>72318</v>
      </c>
      <c r="AB7" s="21"/>
      <c r="AC7" s="21">
        <v>485723</v>
      </c>
      <c r="AD7" s="21"/>
      <c r="AE7" s="21"/>
      <c r="AF7" s="21">
        <v>630779</v>
      </c>
      <c r="AG7" s="21"/>
      <c r="AH7" s="21">
        <v>273558</v>
      </c>
    </row>
    <row r="8" spans="1:34" ht="45" x14ac:dyDescent="0.25">
      <c r="A8" s="25" t="s">
        <v>331</v>
      </c>
      <c r="B8" s="21">
        <v>3334.4701500000001</v>
      </c>
      <c r="C8" s="21">
        <v>15076.49</v>
      </c>
      <c r="D8" s="21">
        <v>711349</v>
      </c>
      <c r="E8" s="21">
        <v>16629</v>
      </c>
      <c r="F8" s="21">
        <v>208475</v>
      </c>
      <c r="G8" s="21">
        <v>80424</v>
      </c>
      <c r="H8" s="21">
        <v>200862.43</v>
      </c>
      <c r="I8" s="21"/>
      <c r="J8" s="21">
        <v>4461</v>
      </c>
      <c r="K8" s="21">
        <v>1720</v>
      </c>
      <c r="L8" s="21">
        <v>31136.1</v>
      </c>
      <c r="M8" s="21"/>
      <c r="N8" s="21">
        <v>24245</v>
      </c>
      <c r="O8" s="21">
        <v>210854.7</v>
      </c>
      <c r="P8" s="21">
        <v>422360</v>
      </c>
      <c r="Q8" s="21">
        <v>25887.35</v>
      </c>
      <c r="R8" s="21">
        <v>5</v>
      </c>
      <c r="S8" s="21">
        <v>13274</v>
      </c>
      <c r="T8" s="21">
        <v>31164</v>
      </c>
      <c r="U8" s="21">
        <v>9602</v>
      </c>
      <c r="V8" s="21"/>
      <c r="W8" s="21">
        <v>258240.87</v>
      </c>
      <c r="X8" s="21">
        <v>106197</v>
      </c>
      <c r="Y8" s="21"/>
      <c r="Z8" s="21">
        <v>203904</v>
      </c>
      <c r="AA8" s="21">
        <v>23700</v>
      </c>
      <c r="AB8" s="21">
        <v>71925</v>
      </c>
      <c r="AC8" s="21"/>
      <c r="AD8" s="21">
        <v>14963</v>
      </c>
      <c r="AE8" s="21"/>
      <c r="AF8" s="21">
        <v>266738</v>
      </c>
      <c r="AG8" s="21"/>
      <c r="AH8" s="21">
        <v>89435</v>
      </c>
    </row>
    <row r="9" spans="1:34" x14ac:dyDescent="0.25">
      <c r="A9" s="25" t="s">
        <v>332</v>
      </c>
      <c r="B9" s="21"/>
      <c r="C9" s="21"/>
      <c r="D9" s="21"/>
      <c r="E9" s="21">
        <v>19774</v>
      </c>
      <c r="F9" s="21"/>
      <c r="G9" s="21"/>
      <c r="H9" s="21"/>
      <c r="I9" s="21">
        <v>28004.39</v>
      </c>
      <c r="J9" s="21"/>
      <c r="K9" s="21"/>
      <c r="L9" s="21"/>
      <c r="M9" s="21">
        <v>51188</v>
      </c>
      <c r="N9" s="21">
        <v>50564</v>
      </c>
      <c r="O9" s="21">
        <v>621871.80000000005</v>
      </c>
      <c r="P9" s="21"/>
      <c r="Q9" s="21">
        <v>441579.93</v>
      </c>
      <c r="R9" s="21">
        <v>26297</v>
      </c>
      <c r="S9" s="21"/>
      <c r="T9" s="21"/>
      <c r="U9" s="21"/>
      <c r="V9" s="21">
        <v>2276826.41</v>
      </c>
      <c r="W9" s="21"/>
      <c r="X9" s="21"/>
      <c r="Y9" s="21">
        <v>15029</v>
      </c>
      <c r="Z9" s="21"/>
      <c r="AA9" s="21"/>
      <c r="AB9" s="21">
        <v>384648</v>
      </c>
      <c r="AC9" s="21"/>
      <c r="AD9" s="21"/>
      <c r="AE9" s="21">
        <v>13247.05</v>
      </c>
      <c r="AF9" s="21"/>
      <c r="AG9" s="21"/>
      <c r="AH9" s="21"/>
    </row>
    <row r="10" spans="1:34" x14ac:dyDescent="0.25">
      <c r="A10" s="25" t="s">
        <v>333</v>
      </c>
      <c r="B10" s="21"/>
      <c r="C10" s="21"/>
      <c r="D10" s="21"/>
      <c r="E10" s="21">
        <v>71631</v>
      </c>
      <c r="F10" s="21"/>
      <c r="G10" s="21"/>
      <c r="H10" s="21"/>
      <c r="I10" s="21">
        <v>2739.81</v>
      </c>
      <c r="J10" s="21"/>
      <c r="K10" s="21"/>
      <c r="L10" s="21"/>
      <c r="M10" s="21">
        <v>266796</v>
      </c>
      <c r="N10" s="21">
        <v>226</v>
      </c>
      <c r="O10" s="21"/>
      <c r="P10" s="21"/>
      <c r="Q10" s="21">
        <v>186239.53</v>
      </c>
      <c r="R10" s="21"/>
      <c r="S10" s="21"/>
      <c r="T10" s="21"/>
      <c r="U10" s="21"/>
      <c r="V10" s="21">
        <v>524515.72</v>
      </c>
      <c r="W10" s="21"/>
      <c r="X10" s="21"/>
      <c r="Y10" s="21">
        <v>5285</v>
      </c>
      <c r="Z10" s="21"/>
      <c r="AA10" s="21"/>
      <c r="AB10" s="21"/>
      <c r="AC10" s="21"/>
      <c r="AD10" s="21"/>
      <c r="AE10" s="21">
        <v>215178.27</v>
      </c>
      <c r="AF10" s="21"/>
      <c r="AG10" s="21"/>
      <c r="AH10" s="21">
        <v>100</v>
      </c>
    </row>
    <row r="11" spans="1:34" s="5" customFormat="1" x14ac:dyDescent="0.25">
      <c r="A11" s="31" t="s">
        <v>334</v>
      </c>
      <c r="B11" s="30"/>
      <c r="C11" s="30">
        <v>-833.88</v>
      </c>
      <c r="D11" s="30">
        <v>-204974</v>
      </c>
      <c r="E11" s="30">
        <v>4740</v>
      </c>
      <c r="F11" s="30">
        <v>30957</v>
      </c>
      <c r="G11" s="30">
        <v>10685</v>
      </c>
      <c r="H11" s="30">
        <v>33719.67</v>
      </c>
      <c r="I11" s="30">
        <v>1919.19</v>
      </c>
      <c r="J11" s="30">
        <v>7100</v>
      </c>
      <c r="K11" s="30">
        <v>-2752</v>
      </c>
      <c r="L11" s="30">
        <v>4506.01</v>
      </c>
      <c r="M11" s="30">
        <v>32942</v>
      </c>
      <c r="N11" s="30">
        <v>-9307</v>
      </c>
      <c r="O11" s="30"/>
      <c r="P11" s="30">
        <v>-14655</v>
      </c>
      <c r="Q11" s="30"/>
      <c r="R11" s="30">
        <v>1573</v>
      </c>
      <c r="S11" s="30">
        <v>34</v>
      </c>
      <c r="T11" s="30"/>
      <c r="U11" s="30">
        <v>2479</v>
      </c>
      <c r="V11" s="30">
        <v>142161.51</v>
      </c>
      <c r="W11" s="30">
        <v>-188235.75</v>
      </c>
      <c r="X11" s="30">
        <v>339537</v>
      </c>
      <c r="Y11" s="30">
        <v>2714</v>
      </c>
      <c r="Z11" s="30"/>
      <c r="AA11" s="30">
        <v>18271</v>
      </c>
      <c r="AB11" s="30">
        <v>-5389</v>
      </c>
      <c r="AC11" s="30">
        <v>9273</v>
      </c>
      <c r="AD11" s="30">
        <v>71484</v>
      </c>
      <c r="AE11" s="30">
        <v>5681.73</v>
      </c>
      <c r="AF11" s="30">
        <v>1069</v>
      </c>
      <c r="AG11" s="30"/>
      <c r="AH11" s="30">
        <v>7407</v>
      </c>
    </row>
    <row r="12" spans="1:34" x14ac:dyDescent="0.25">
      <c r="A12" s="25" t="s">
        <v>338</v>
      </c>
      <c r="B12" s="21">
        <v>14073.06854</v>
      </c>
      <c r="C12" s="21">
        <v>13726.59</v>
      </c>
      <c r="D12" s="21">
        <v>481862</v>
      </c>
      <c r="E12" s="21">
        <v>51195</v>
      </c>
      <c r="F12" s="21">
        <v>529671</v>
      </c>
      <c r="G12" s="21">
        <v>66504</v>
      </c>
      <c r="H12" s="21">
        <v>126842.94</v>
      </c>
      <c r="I12" s="21">
        <v>24169.17</v>
      </c>
      <c r="J12" s="21">
        <v>6142</v>
      </c>
      <c r="K12" s="21">
        <v>14339</v>
      </c>
      <c r="L12" s="21">
        <v>432317.48</v>
      </c>
      <c r="M12" s="21">
        <v>48274</v>
      </c>
      <c r="N12" s="21">
        <v>51779</v>
      </c>
      <c r="O12" s="21">
        <v>310458.2</v>
      </c>
      <c r="P12" s="21">
        <v>539435</v>
      </c>
      <c r="Q12" s="21">
        <v>350035.32</v>
      </c>
      <c r="R12" s="21">
        <v>13849</v>
      </c>
      <c r="S12" s="21">
        <v>60665</v>
      </c>
      <c r="T12" s="21">
        <v>34993</v>
      </c>
      <c r="U12" s="21">
        <v>43223</v>
      </c>
      <c r="V12" s="21">
        <v>270425.11</v>
      </c>
      <c r="W12" s="21">
        <v>1847789.09</v>
      </c>
      <c r="X12" s="21">
        <v>338808</v>
      </c>
      <c r="Y12" s="21">
        <v>18496</v>
      </c>
      <c r="Z12" s="21">
        <v>201353</v>
      </c>
      <c r="AA12" s="21">
        <v>43360</v>
      </c>
      <c r="AB12" s="21">
        <v>120347</v>
      </c>
      <c r="AC12" s="21">
        <v>181676</v>
      </c>
      <c r="AD12" s="21">
        <v>99885</v>
      </c>
      <c r="AE12" s="21">
        <v>137491.44</v>
      </c>
      <c r="AF12" s="21">
        <v>270149</v>
      </c>
      <c r="AG12" s="21"/>
      <c r="AH12" s="21">
        <v>78148</v>
      </c>
    </row>
    <row r="13" spans="1:34" x14ac:dyDescent="0.25">
      <c r="A13" s="25" t="s">
        <v>326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4" ht="45" x14ac:dyDescent="0.25">
      <c r="A14" s="25" t="s">
        <v>328</v>
      </c>
      <c r="B14" s="21">
        <v>3540.0445599999998</v>
      </c>
      <c r="C14" s="21"/>
      <c r="D14" s="21">
        <v>0</v>
      </c>
      <c r="E14" s="21">
        <v>9008</v>
      </c>
      <c r="F14" s="21">
        <v>74506</v>
      </c>
      <c r="G14" s="21">
        <v>6348</v>
      </c>
      <c r="H14" s="21">
        <v>27894.720000000001</v>
      </c>
      <c r="I14" s="21">
        <v>9122.5300000000007</v>
      </c>
      <c r="J14" s="21"/>
      <c r="K14" s="21">
        <v>1487</v>
      </c>
      <c r="L14" s="21">
        <v>18286.28</v>
      </c>
      <c r="M14" s="21">
        <v>18934</v>
      </c>
      <c r="N14" s="21"/>
      <c r="O14" s="21">
        <v>74490.7</v>
      </c>
      <c r="P14" s="21">
        <v>28590</v>
      </c>
      <c r="Q14" s="21">
        <v>141242.07999999999</v>
      </c>
      <c r="R14" s="21">
        <v>4649</v>
      </c>
      <c r="S14" s="21">
        <v>12529</v>
      </c>
      <c r="T14" s="21">
        <v>10373</v>
      </c>
      <c r="U14" s="21">
        <v>21956</v>
      </c>
      <c r="V14" s="21"/>
      <c r="W14" s="21">
        <v>279359.68</v>
      </c>
      <c r="X14" s="21">
        <v>285416</v>
      </c>
      <c r="Y14" s="21">
        <v>1015</v>
      </c>
      <c r="Z14" s="21">
        <v>39019</v>
      </c>
      <c r="AA14" s="21">
        <v>22436</v>
      </c>
      <c r="AB14" s="21"/>
      <c r="AC14" s="21">
        <v>18611</v>
      </c>
      <c r="AD14" s="21">
        <v>16740</v>
      </c>
      <c r="AE14" s="21">
        <v>19374.93</v>
      </c>
      <c r="AF14" s="21">
        <v>62505</v>
      </c>
      <c r="AG14" s="21"/>
      <c r="AH14" s="21">
        <v>8534</v>
      </c>
    </row>
    <row r="15" spans="1:34" s="5" customFormat="1" x14ac:dyDescent="0.25">
      <c r="A15" s="31" t="s">
        <v>335</v>
      </c>
      <c r="B15" s="30">
        <v>10533.02398</v>
      </c>
      <c r="C15" s="30">
        <v>13726.59</v>
      </c>
      <c r="D15" s="30">
        <v>481862</v>
      </c>
      <c r="E15" s="30">
        <v>42186</v>
      </c>
      <c r="F15" s="30">
        <v>455165</v>
      </c>
      <c r="G15" s="30">
        <v>60156</v>
      </c>
      <c r="H15" s="30">
        <v>98948.22</v>
      </c>
      <c r="I15" s="30">
        <v>15046.64</v>
      </c>
      <c r="J15" s="30">
        <v>6142</v>
      </c>
      <c r="K15" s="30">
        <v>12852</v>
      </c>
      <c r="L15" s="30">
        <v>414031.2</v>
      </c>
      <c r="M15" s="30">
        <v>29340</v>
      </c>
      <c r="N15" s="30">
        <v>51779</v>
      </c>
      <c r="O15" s="30">
        <v>235967.5</v>
      </c>
      <c r="P15" s="30">
        <v>510845</v>
      </c>
      <c r="Q15" s="30">
        <v>208793.24</v>
      </c>
      <c r="R15" s="30">
        <v>9200</v>
      </c>
      <c r="S15" s="30">
        <v>48136</v>
      </c>
      <c r="T15" s="30">
        <v>24619</v>
      </c>
      <c r="U15" s="30">
        <v>21956</v>
      </c>
      <c r="V15" s="30">
        <v>270425.11</v>
      </c>
      <c r="W15" s="30">
        <v>1568429.41</v>
      </c>
      <c r="X15" s="30">
        <v>53392</v>
      </c>
      <c r="Y15" s="30">
        <v>17482</v>
      </c>
      <c r="Z15" s="30">
        <v>162334</v>
      </c>
      <c r="AA15" s="30">
        <v>20924</v>
      </c>
      <c r="AB15" s="30">
        <v>120347</v>
      </c>
      <c r="AC15" s="30">
        <v>163066</v>
      </c>
      <c r="AD15" s="30">
        <v>83145</v>
      </c>
      <c r="AE15" s="30">
        <v>118116.51</v>
      </c>
      <c r="AF15" s="30">
        <v>207644</v>
      </c>
      <c r="AG15" s="30"/>
      <c r="AH15" s="30">
        <v>69613</v>
      </c>
    </row>
    <row r="16" spans="1:34" s="15" customFormat="1" x14ac:dyDescent="0.25">
      <c r="A16" s="23" t="s">
        <v>336</v>
      </c>
      <c r="B16" s="24">
        <v>10533.02398</v>
      </c>
      <c r="C16" s="24">
        <v>12892.71</v>
      </c>
      <c r="D16" s="24">
        <v>276888</v>
      </c>
      <c r="E16" s="24">
        <v>46926</v>
      </c>
      <c r="F16" s="24">
        <v>486122</v>
      </c>
      <c r="G16" s="24">
        <v>70842</v>
      </c>
      <c r="H16" s="24">
        <v>132667.89000000001</v>
      </c>
      <c r="I16" s="24">
        <v>16965.84</v>
      </c>
      <c r="J16" s="24">
        <v>13242</v>
      </c>
      <c r="K16" s="24">
        <v>10100</v>
      </c>
      <c r="L16" s="24">
        <v>418537.21</v>
      </c>
      <c r="M16" s="24">
        <v>62282</v>
      </c>
      <c r="N16" s="24">
        <v>42472</v>
      </c>
      <c r="O16" s="24">
        <v>235967.5</v>
      </c>
      <c r="P16" s="24">
        <v>496189</v>
      </c>
      <c r="Q16" s="24">
        <v>208793.24</v>
      </c>
      <c r="R16" s="24">
        <v>10772</v>
      </c>
      <c r="S16" s="24">
        <v>48170</v>
      </c>
      <c r="T16" s="24">
        <v>24619</v>
      </c>
      <c r="U16" s="24">
        <v>23746</v>
      </c>
      <c r="V16" s="24">
        <v>412586.62</v>
      </c>
      <c r="W16" s="24">
        <v>1380193.66</v>
      </c>
      <c r="X16" s="24">
        <v>392929</v>
      </c>
      <c r="Y16" s="24">
        <v>20195</v>
      </c>
      <c r="Z16" s="24">
        <v>162334</v>
      </c>
      <c r="AA16" s="24">
        <v>39194</v>
      </c>
      <c r="AB16" s="24">
        <v>114957</v>
      </c>
      <c r="AC16" s="24">
        <v>172339</v>
      </c>
      <c r="AD16" s="24">
        <v>154629</v>
      </c>
      <c r="AE16" s="24">
        <v>123798.24</v>
      </c>
      <c r="AF16" s="24">
        <v>208713</v>
      </c>
      <c r="AG16" s="24"/>
      <c r="AH16" s="24">
        <v>77021</v>
      </c>
    </row>
    <row r="17" spans="1:34" s="15" customFormat="1" x14ac:dyDescent="0.25">
      <c r="A17" s="23" t="s">
        <v>329</v>
      </c>
      <c r="B17" s="24">
        <v>5000</v>
      </c>
      <c r="C17" s="24">
        <v>7282.48</v>
      </c>
      <c r="D17" s="24">
        <v>116721</v>
      </c>
      <c r="E17" s="24">
        <v>30187</v>
      </c>
      <c r="F17" s="24">
        <v>172857</v>
      </c>
      <c r="G17" s="24">
        <v>40075</v>
      </c>
      <c r="H17" s="24">
        <v>80748.14</v>
      </c>
      <c r="I17" s="24">
        <v>8862.65</v>
      </c>
      <c r="J17" s="24">
        <v>5110</v>
      </c>
      <c r="K17" s="24">
        <v>5000</v>
      </c>
      <c r="L17" s="24">
        <v>36325.949999999997</v>
      </c>
      <c r="M17" s="24">
        <v>36398</v>
      </c>
      <c r="N17" s="24">
        <v>12560</v>
      </c>
      <c r="O17" s="24">
        <v>122987</v>
      </c>
      <c r="P17" s="24">
        <v>234481</v>
      </c>
      <c r="Q17" s="24">
        <v>130278.64</v>
      </c>
      <c r="R17" s="24">
        <v>5000</v>
      </c>
      <c r="S17" s="24">
        <v>18722</v>
      </c>
      <c r="T17" s="24">
        <v>13924</v>
      </c>
      <c r="U17" s="24">
        <v>13522</v>
      </c>
      <c r="V17" s="24">
        <v>407998</v>
      </c>
      <c r="W17" s="24">
        <v>613530.84</v>
      </c>
      <c r="X17" s="24">
        <v>323605</v>
      </c>
      <c r="Y17" s="24">
        <v>5000</v>
      </c>
      <c r="Z17" s="24">
        <v>99062</v>
      </c>
      <c r="AA17" s="24">
        <v>25648</v>
      </c>
      <c r="AB17" s="24">
        <v>59105</v>
      </c>
      <c r="AC17" s="24">
        <v>74116</v>
      </c>
      <c r="AD17" s="24">
        <v>54265</v>
      </c>
      <c r="AE17" s="24">
        <v>75120.69</v>
      </c>
      <c r="AF17" s="24">
        <v>118937</v>
      </c>
      <c r="AG17" s="24"/>
      <c r="AH17" s="24">
        <v>43806</v>
      </c>
    </row>
    <row r="18" spans="1:34" s="81" customFormat="1" x14ac:dyDescent="0.25">
      <c r="A18" s="83" t="s">
        <v>330</v>
      </c>
      <c r="B18" s="84">
        <v>2.11</v>
      </c>
      <c r="C18" s="84">
        <v>1.77</v>
      </c>
      <c r="D18" s="84">
        <v>2.37</v>
      </c>
      <c r="E18" s="84">
        <v>1.55</v>
      </c>
      <c r="F18" s="85">
        <v>2.81</v>
      </c>
      <c r="G18" s="84">
        <v>1.77</v>
      </c>
      <c r="H18" s="84">
        <v>1.643</v>
      </c>
      <c r="I18" s="86">
        <v>1.9142999999999999</v>
      </c>
      <c r="J18" s="84">
        <v>2.59</v>
      </c>
      <c r="K18" s="84">
        <v>2.02</v>
      </c>
      <c r="L18" s="84">
        <v>11.52</v>
      </c>
      <c r="M18" s="84">
        <v>1.71</v>
      </c>
      <c r="N18" s="84">
        <v>3.38</v>
      </c>
      <c r="O18" s="84">
        <v>1.92</v>
      </c>
      <c r="P18" s="84">
        <v>2.12</v>
      </c>
      <c r="Q18" s="84">
        <v>1.6</v>
      </c>
      <c r="R18" s="84">
        <v>2.15</v>
      </c>
      <c r="S18" s="84">
        <v>2.57</v>
      </c>
      <c r="T18" s="84">
        <v>1.77</v>
      </c>
      <c r="U18" s="84">
        <v>1.76</v>
      </c>
      <c r="V18" s="84">
        <v>1.0112466727778078</v>
      </c>
      <c r="W18" s="84">
        <v>2.25</v>
      </c>
      <c r="X18" s="84">
        <v>1.21</v>
      </c>
      <c r="Y18" s="84">
        <v>4.04</v>
      </c>
      <c r="Z18" s="84">
        <v>1.64</v>
      </c>
      <c r="AA18" s="84">
        <v>1.53</v>
      </c>
      <c r="AB18" s="84">
        <v>1.94</v>
      </c>
      <c r="AC18" s="84">
        <v>2.33</v>
      </c>
      <c r="AD18" s="84">
        <v>2.85</v>
      </c>
      <c r="AE18" s="84">
        <v>1.65</v>
      </c>
      <c r="AF18" s="84">
        <v>1.75</v>
      </c>
      <c r="AG18" s="84"/>
      <c r="AH18" s="84">
        <v>1.76</v>
      </c>
    </row>
    <row r="19" spans="1:34" x14ac:dyDescent="0.25">
      <c r="A19" s="6"/>
    </row>
    <row r="20" spans="1:34" x14ac:dyDescent="0.25">
      <c r="A20" s="6"/>
    </row>
    <row r="21" spans="1:34" x14ac:dyDescent="0.25">
      <c r="A21" s="6"/>
    </row>
    <row r="22" spans="1:34" x14ac:dyDescent="0.25">
      <c r="A22" s="6"/>
    </row>
    <row r="23" spans="1:34" x14ac:dyDescent="0.25">
      <c r="A23" s="6"/>
    </row>
    <row r="24" spans="1:34" x14ac:dyDescent="0.25">
      <c r="A24" s="6"/>
    </row>
    <row r="25" spans="1:34" x14ac:dyDescent="0.25">
      <c r="A25" s="6"/>
    </row>
    <row r="26" spans="1:34" x14ac:dyDescent="0.25">
      <c r="A26" s="6"/>
    </row>
    <row r="27" spans="1:34" x14ac:dyDescent="0.25">
      <c r="A27" s="6"/>
    </row>
    <row r="28" spans="1:34" x14ac:dyDescent="0.25">
      <c r="A28" s="6"/>
    </row>
    <row r="29" spans="1:34" x14ac:dyDescent="0.25">
      <c r="A29" s="6"/>
    </row>
    <row r="30" spans="1:34" x14ac:dyDescent="0.25">
      <c r="A30" s="6"/>
    </row>
    <row r="31" spans="1:34" x14ac:dyDescent="0.25">
      <c r="A31" s="6"/>
    </row>
    <row r="32" spans="1:34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5" x14ac:dyDescent="0.25"/>
  <cols>
    <col min="1" max="1" width="31" style="4" customWidth="1"/>
    <col min="2" max="137" width="14.140625" style="4" customWidth="1"/>
    <col min="138" max="16384" width="9.140625" style="4"/>
  </cols>
  <sheetData>
    <row r="1" spans="1:137" ht="18.75" x14ac:dyDescent="0.3">
      <c r="A1" s="78" t="s">
        <v>325</v>
      </c>
    </row>
    <row r="2" spans="1:137" x14ac:dyDescent="0.25">
      <c r="A2" s="4" t="s">
        <v>323</v>
      </c>
    </row>
    <row r="3" spans="1:137" x14ac:dyDescent="0.25">
      <c r="A3" s="23" t="s">
        <v>0</v>
      </c>
      <c r="B3" s="110" t="s">
        <v>1</v>
      </c>
      <c r="C3" s="110"/>
      <c r="D3" s="110"/>
      <c r="E3" s="110"/>
      <c r="F3" s="110" t="s">
        <v>2</v>
      </c>
      <c r="G3" s="110"/>
      <c r="H3" s="110"/>
      <c r="I3" s="110"/>
      <c r="J3" s="110" t="s">
        <v>3</v>
      </c>
      <c r="K3" s="110"/>
      <c r="L3" s="110"/>
      <c r="M3" s="110"/>
      <c r="N3" s="110" t="s">
        <v>4</v>
      </c>
      <c r="O3" s="110"/>
      <c r="P3" s="110"/>
      <c r="Q3" s="110"/>
      <c r="R3" s="110" t="s">
        <v>5</v>
      </c>
      <c r="S3" s="110"/>
      <c r="T3" s="110"/>
      <c r="U3" s="110"/>
      <c r="V3" s="110" t="s">
        <v>6</v>
      </c>
      <c r="W3" s="110"/>
      <c r="X3" s="110"/>
      <c r="Y3" s="110"/>
      <c r="Z3" s="110" t="s">
        <v>7</v>
      </c>
      <c r="AA3" s="110"/>
      <c r="AB3" s="110"/>
      <c r="AC3" s="110"/>
      <c r="AD3" s="110" t="s">
        <v>8</v>
      </c>
      <c r="AE3" s="110"/>
      <c r="AF3" s="110"/>
      <c r="AG3" s="110"/>
      <c r="AH3" s="110" t="s">
        <v>9</v>
      </c>
      <c r="AI3" s="110"/>
      <c r="AJ3" s="110"/>
      <c r="AK3" s="110"/>
      <c r="AL3" s="110" t="s">
        <v>10</v>
      </c>
      <c r="AM3" s="110"/>
      <c r="AN3" s="110"/>
      <c r="AO3" s="110"/>
      <c r="AP3" s="110" t="s">
        <v>11</v>
      </c>
      <c r="AQ3" s="110"/>
      <c r="AR3" s="110"/>
      <c r="AS3" s="110"/>
      <c r="AT3" s="110" t="s">
        <v>12</v>
      </c>
      <c r="AU3" s="110"/>
      <c r="AV3" s="110"/>
      <c r="AW3" s="110"/>
      <c r="AX3" s="110" t="s">
        <v>13</v>
      </c>
      <c r="AY3" s="110"/>
      <c r="AZ3" s="110"/>
      <c r="BA3" s="110"/>
      <c r="BB3" s="110" t="s">
        <v>14</v>
      </c>
      <c r="BC3" s="110"/>
      <c r="BD3" s="110"/>
      <c r="BE3" s="110"/>
      <c r="BF3" s="110" t="s">
        <v>15</v>
      </c>
      <c r="BG3" s="110"/>
      <c r="BH3" s="110"/>
      <c r="BI3" s="110"/>
      <c r="BJ3" s="110" t="s">
        <v>16</v>
      </c>
      <c r="BK3" s="110"/>
      <c r="BL3" s="110"/>
      <c r="BM3" s="110"/>
      <c r="BN3" s="110" t="s">
        <v>17</v>
      </c>
      <c r="BO3" s="110"/>
      <c r="BP3" s="110"/>
      <c r="BQ3" s="110"/>
      <c r="BR3" s="110" t="s">
        <v>18</v>
      </c>
      <c r="BS3" s="110"/>
      <c r="BT3" s="110"/>
      <c r="BU3" s="110"/>
      <c r="BV3" s="110" t="s">
        <v>19</v>
      </c>
      <c r="BW3" s="110"/>
      <c r="BX3" s="110"/>
      <c r="BY3" s="110"/>
      <c r="BZ3" s="110" t="s">
        <v>20</v>
      </c>
      <c r="CA3" s="110"/>
      <c r="CB3" s="110"/>
      <c r="CC3" s="110"/>
      <c r="CD3" s="110" t="s">
        <v>21</v>
      </c>
      <c r="CE3" s="110"/>
      <c r="CF3" s="110"/>
      <c r="CG3" s="110"/>
      <c r="CH3" s="110" t="s">
        <v>161</v>
      </c>
      <c r="CI3" s="110"/>
      <c r="CJ3" s="110"/>
      <c r="CK3" s="110"/>
      <c r="CL3" s="110" t="s">
        <v>162</v>
      </c>
      <c r="CM3" s="110"/>
      <c r="CN3" s="110"/>
      <c r="CO3" s="110"/>
      <c r="CP3" s="110" t="s">
        <v>22</v>
      </c>
      <c r="CQ3" s="110"/>
      <c r="CR3" s="110"/>
      <c r="CS3" s="110"/>
      <c r="CT3" s="110" t="s">
        <v>23</v>
      </c>
      <c r="CU3" s="110"/>
      <c r="CV3" s="110"/>
      <c r="CW3" s="110"/>
      <c r="CX3" s="110" t="s">
        <v>24</v>
      </c>
      <c r="CY3" s="110"/>
      <c r="CZ3" s="110"/>
      <c r="DA3" s="110"/>
      <c r="DB3" s="110" t="s">
        <v>25</v>
      </c>
      <c r="DC3" s="110"/>
      <c r="DD3" s="110"/>
      <c r="DE3" s="110"/>
      <c r="DF3" s="110" t="s">
        <v>26</v>
      </c>
      <c r="DG3" s="110"/>
      <c r="DH3" s="110"/>
      <c r="DI3" s="110"/>
      <c r="DJ3" s="110" t="s">
        <v>27</v>
      </c>
      <c r="DK3" s="110"/>
      <c r="DL3" s="110"/>
      <c r="DM3" s="110"/>
      <c r="DN3" s="110" t="s">
        <v>28</v>
      </c>
      <c r="DO3" s="110"/>
      <c r="DP3" s="110"/>
      <c r="DQ3" s="110"/>
      <c r="DR3" s="110" t="s">
        <v>29</v>
      </c>
      <c r="DS3" s="110"/>
      <c r="DT3" s="110"/>
      <c r="DU3" s="110"/>
      <c r="DV3" s="110" t="s">
        <v>30</v>
      </c>
      <c r="DW3" s="110"/>
      <c r="DX3" s="110"/>
      <c r="DY3" s="110"/>
      <c r="DZ3" s="110" t="s">
        <v>31</v>
      </c>
      <c r="EA3" s="110"/>
      <c r="EB3" s="110"/>
      <c r="EC3" s="110"/>
      <c r="ED3" s="110" t="s">
        <v>304</v>
      </c>
      <c r="EE3" s="110"/>
      <c r="EF3" s="110"/>
      <c r="EG3" s="110"/>
    </row>
    <row r="4" spans="1:137" x14ac:dyDescent="0.25">
      <c r="A4" s="23"/>
      <c r="B4" s="122" t="s">
        <v>286</v>
      </c>
      <c r="C4" s="122"/>
      <c r="D4" s="122" t="s">
        <v>287</v>
      </c>
      <c r="E4" s="122"/>
      <c r="F4" s="122" t="s">
        <v>286</v>
      </c>
      <c r="G4" s="122"/>
      <c r="H4" s="122" t="s">
        <v>287</v>
      </c>
      <c r="I4" s="122"/>
      <c r="J4" s="122" t="s">
        <v>286</v>
      </c>
      <c r="K4" s="122"/>
      <c r="L4" s="122" t="s">
        <v>287</v>
      </c>
      <c r="M4" s="122"/>
      <c r="N4" s="122" t="s">
        <v>286</v>
      </c>
      <c r="O4" s="122"/>
      <c r="P4" s="122" t="s">
        <v>287</v>
      </c>
      <c r="Q4" s="122"/>
      <c r="R4" s="122" t="s">
        <v>286</v>
      </c>
      <c r="S4" s="122"/>
      <c r="T4" s="122" t="s">
        <v>287</v>
      </c>
      <c r="U4" s="122"/>
      <c r="V4" s="122" t="s">
        <v>286</v>
      </c>
      <c r="W4" s="122"/>
      <c r="X4" s="122" t="s">
        <v>287</v>
      </c>
      <c r="Y4" s="122"/>
      <c r="Z4" s="122" t="s">
        <v>286</v>
      </c>
      <c r="AA4" s="122"/>
      <c r="AB4" s="122" t="s">
        <v>287</v>
      </c>
      <c r="AC4" s="122"/>
      <c r="AD4" s="122" t="s">
        <v>286</v>
      </c>
      <c r="AE4" s="122"/>
      <c r="AF4" s="122" t="s">
        <v>287</v>
      </c>
      <c r="AG4" s="122"/>
      <c r="AH4" s="122" t="s">
        <v>286</v>
      </c>
      <c r="AI4" s="122"/>
      <c r="AJ4" s="122" t="s">
        <v>287</v>
      </c>
      <c r="AK4" s="122"/>
      <c r="AL4" s="122" t="s">
        <v>286</v>
      </c>
      <c r="AM4" s="122"/>
      <c r="AN4" s="122" t="s">
        <v>287</v>
      </c>
      <c r="AO4" s="122"/>
      <c r="AP4" s="122" t="s">
        <v>286</v>
      </c>
      <c r="AQ4" s="122"/>
      <c r="AR4" s="122" t="s">
        <v>287</v>
      </c>
      <c r="AS4" s="122"/>
      <c r="AT4" s="122" t="s">
        <v>286</v>
      </c>
      <c r="AU4" s="122"/>
      <c r="AV4" s="122" t="s">
        <v>287</v>
      </c>
      <c r="AW4" s="122"/>
      <c r="AX4" s="122" t="s">
        <v>286</v>
      </c>
      <c r="AY4" s="122"/>
      <c r="AZ4" s="122" t="s">
        <v>287</v>
      </c>
      <c r="BA4" s="122"/>
      <c r="BB4" s="122" t="s">
        <v>286</v>
      </c>
      <c r="BC4" s="122"/>
      <c r="BD4" s="122" t="s">
        <v>287</v>
      </c>
      <c r="BE4" s="122"/>
      <c r="BF4" s="122" t="s">
        <v>286</v>
      </c>
      <c r="BG4" s="122"/>
      <c r="BH4" s="122" t="s">
        <v>287</v>
      </c>
      <c r="BI4" s="122"/>
      <c r="BJ4" s="122" t="s">
        <v>286</v>
      </c>
      <c r="BK4" s="122"/>
      <c r="BL4" s="122" t="s">
        <v>287</v>
      </c>
      <c r="BM4" s="122"/>
      <c r="BN4" s="122" t="s">
        <v>286</v>
      </c>
      <c r="BO4" s="122"/>
      <c r="BP4" s="122" t="s">
        <v>287</v>
      </c>
      <c r="BQ4" s="122"/>
      <c r="BR4" s="122" t="s">
        <v>286</v>
      </c>
      <c r="BS4" s="122"/>
      <c r="BT4" s="122" t="s">
        <v>287</v>
      </c>
      <c r="BU4" s="122"/>
      <c r="BV4" s="122" t="s">
        <v>286</v>
      </c>
      <c r="BW4" s="122"/>
      <c r="BX4" s="122" t="s">
        <v>287</v>
      </c>
      <c r="BY4" s="122"/>
      <c r="BZ4" s="122" t="s">
        <v>286</v>
      </c>
      <c r="CA4" s="122"/>
      <c r="CB4" s="122" t="s">
        <v>287</v>
      </c>
      <c r="CC4" s="122"/>
      <c r="CD4" s="122" t="s">
        <v>286</v>
      </c>
      <c r="CE4" s="122"/>
      <c r="CF4" s="122" t="s">
        <v>287</v>
      </c>
      <c r="CG4" s="122"/>
      <c r="CH4" s="122" t="s">
        <v>286</v>
      </c>
      <c r="CI4" s="122"/>
      <c r="CJ4" s="122" t="s">
        <v>287</v>
      </c>
      <c r="CK4" s="122"/>
      <c r="CL4" s="122" t="s">
        <v>286</v>
      </c>
      <c r="CM4" s="122"/>
      <c r="CN4" s="122" t="s">
        <v>287</v>
      </c>
      <c r="CO4" s="122"/>
      <c r="CP4" s="122" t="s">
        <v>286</v>
      </c>
      <c r="CQ4" s="122"/>
      <c r="CR4" s="122" t="s">
        <v>287</v>
      </c>
      <c r="CS4" s="122"/>
      <c r="CT4" s="122" t="s">
        <v>286</v>
      </c>
      <c r="CU4" s="122"/>
      <c r="CV4" s="122" t="s">
        <v>287</v>
      </c>
      <c r="CW4" s="122"/>
      <c r="CX4" s="122" t="s">
        <v>286</v>
      </c>
      <c r="CY4" s="122"/>
      <c r="CZ4" s="122" t="s">
        <v>287</v>
      </c>
      <c r="DA4" s="122"/>
      <c r="DB4" s="122" t="s">
        <v>286</v>
      </c>
      <c r="DC4" s="122"/>
      <c r="DD4" s="122" t="s">
        <v>287</v>
      </c>
      <c r="DE4" s="122"/>
      <c r="DF4" s="122" t="s">
        <v>286</v>
      </c>
      <c r="DG4" s="122"/>
      <c r="DH4" s="122" t="s">
        <v>287</v>
      </c>
      <c r="DI4" s="122"/>
      <c r="DJ4" s="122" t="s">
        <v>286</v>
      </c>
      <c r="DK4" s="122"/>
      <c r="DL4" s="122" t="s">
        <v>287</v>
      </c>
      <c r="DM4" s="122"/>
      <c r="DN4" s="122" t="s">
        <v>286</v>
      </c>
      <c r="DO4" s="122"/>
      <c r="DP4" s="122" t="s">
        <v>287</v>
      </c>
      <c r="DQ4" s="122"/>
      <c r="DR4" s="122" t="s">
        <v>286</v>
      </c>
      <c r="DS4" s="122"/>
      <c r="DT4" s="122" t="s">
        <v>287</v>
      </c>
      <c r="DU4" s="122"/>
      <c r="DV4" s="122" t="s">
        <v>286</v>
      </c>
      <c r="DW4" s="122"/>
      <c r="DX4" s="122" t="s">
        <v>287</v>
      </c>
      <c r="DY4" s="122"/>
      <c r="DZ4" s="122" t="s">
        <v>286</v>
      </c>
      <c r="EA4" s="122"/>
      <c r="EB4" s="122" t="s">
        <v>287</v>
      </c>
      <c r="EC4" s="122"/>
      <c r="ED4" s="122" t="s">
        <v>286</v>
      </c>
      <c r="EE4" s="122"/>
      <c r="EF4" s="122" t="s">
        <v>287</v>
      </c>
      <c r="EG4" s="122"/>
    </row>
    <row r="5" spans="1:137" x14ac:dyDescent="0.25">
      <c r="A5" s="44"/>
      <c r="B5" s="44" t="s">
        <v>311</v>
      </c>
      <c r="C5" s="44" t="s">
        <v>312</v>
      </c>
      <c r="D5" s="44" t="s">
        <v>311</v>
      </c>
      <c r="E5" s="44" t="s">
        <v>312</v>
      </c>
      <c r="F5" s="44" t="s">
        <v>311</v>
      </c>
      <c r="G5" s="44" t="s">
        <v>312</v>
      </c>
      <c r="H5" s="44" t="s">
        <v>311</v>
      </c>
      <c r="I5" s="44" t="s">
        <v>312</v>
      </c>
      <c r="J5" s="44" t="s">
        <v>311</v>
      </c>
      <c r="K5" s="44" t="s">
        <v>312</v>
      </c>
      <c r="L5" s="44" t="s">
        <v>311</v>
      </c>
      <c r="M5" s="44" t="s">
        <v>312</v>
      </c>
      <c r="N5" s="44" t="s">
        <v>311</v>
      </c>
      <c r="O5" s="44" t="s">
        <v>312</v>
      </c>
      <c r="P5" s="44" t="s">
        <v>311</v>
      </c>
      <c r="Q5" s="44" t="s">
        <v>312</v>
      </c>
      <c r="R5" s="44" t="s">
        <v>311</v>
      </c>
      <c r="S5" s="44" t="s">
        <v>312</v>
      </c>
      <c r="T5" s="44" t="s">
        <v>311</v>
      </c>
      <c r="U5" s="44" t="s">
        <v>312</v>
      </c>
      <c r="V5" s="44" t="s">
        <v>311</v>
      </c>
      <c r="W5" s="44" t="s">
        <v>312</v>
      </c>
      <c r="X5" s="44" t="s">
        <v>311</v>
      </c>
      <c r="Y5" s="44" t="s">
        <v>312</v>
      </c>
      <c r="Z5" s="44" t="s">
        <v>311</v>
      </c>
      <c r="AA5" s="44" t="s">
        <v>312</v>
      </c>
      <c r="AB5" s="44" t="s">
        <v>311</v>
      </c>
      <c r="AC5" s="44" t="s">
        <v>312</v>
      </c>
      <c r="AD5" s="44" t="s">
        <v>311</v>
      </c>
      <c r="AE5" s="44" t="s">
        <v>312</v>
      </c>
      <c r="AF5" s="44" t="s">
        <v>311</v>
      </c>
      <c r="AG5" s="44" t="s">
        <v>312</v>
      </c>
      <c r="AH5" s="44" t="s">
        <v>311</v>
      </c>
      <c r="AI5" s="44" t="s">
        <v>312</v>
      </c>
      <c r="AJ5" s="44" t="s">
        <v>311</v>
      </c>
      <c r="AK5" s="44" t="s">
        <v>312</v>
      </c>
      <c r="AL5" s="44" t="s">
        <v>311</v>
      </c>
      <c r="AM5" s="44" t="s">
        <v>312</v>
      </c>
      <c r="AN5" s="44" t="s">
        <v>311</v>
      </c>
      <c r="AO5" s="44" t="s">
        <v>312</v>
      </c>
      <c r="AP5" s="44" t="s">
        <v>311</v>
      </c>
      <c r="AQ5" s="44" t="s">
        <v>312</v>
      </c>
      <c r="AR5" s="44" t="s">
        <v>311</v>
      </c>
      <c r="AS5" s="44" t="s">
        <v>312</v>
      </c>
      <c r="AT5" s="44" t="s">
        <v>311</v>
      </c>
      <c r="AU5" s="44" t="s">
        <v>312</v>
      </c>
      <c r="AV5" s="44" t="s">
        <v>311</v>
      </c>
      <c r="AW5" s="44" t="s">
        <v>312</v>
      </c>
      <c r="AX5" s="44" t="s">
        <v>311</v>
      </c>
      <c r="AY5" s="44" t="s">
        <v>312</v>
      </c>
      <c r="AZ5" s="44" t="s">
        <v>311</v>
      </c>
      <c r="BA5" s="44" t="s">
        <v>312</v>
      </c>
      <c r="BB5" s="44" t="s">
        <v>311</v>
      </c>
      <c r="BC5" s="44" t="s">
        <v>312</v>
      </c>
      <c r="BD5" s="44" t="s">
        <v>311</v>
      </c>
      <c r="BE5" s="44" t="s">
        <v>312</v>
      </c>
      <c r="BF5" s="44" t="s">
        <v>311</v>
      </c>
      <c r="BG5" s="44" t="s">
        <v>312</v>
      </c>
      <c r="BH5" s="44" t="s">
        <v>311</v>
      </c>
      <c r="BI5" s="44" t="s">
        <v>312</v>
      </c>
      <c r="BJ5" s="44" t="s">
        <v>311</v>
      </c>
      <c r="BK5" s="44" t="s">
        <v>312</v>
      </c>
      <c r="BL5" s="44" t="s">
        <v>311</v>
      </c>
      <c r="BM5" s="44" t="s">
        <v>312</v>
      </c>
      <c r="BN5" s="44" t="s">
        <v>311</v>
      </c>
      <c r="BO5" s="44" t="s">
        <v>312</v>
      </c>
      <c r="BP5" s="44" t="s">
        <v>311</v>
      </c>
      <c r="BQ5" s="44" t="s">
        <v>312</v>
      </c>
      <c r="BR5" s="44" t="s">
        <v>311</v>
      </c>
      <c r="BS5" s="44" t="s">
        <v>312</v>
      </c>
      <c r="BT5" s="44" t="s">
        <v>311</v>
      </c>
      <c r="BU5" s="44" t="s">
        <v>312</v>
      </c>
      <c r="BV5" s="44" t="s">
        <v>311</v>
      </c>
      <c r="BW5" s="44" t="s">
        <v>312</v>
      </c>
      <c r="BX5" s="44" t="s">
        <v>311</v>
      </c>
      <c r="BY5" s="44" t="s">
        <v>312</v>
      </c>
      <c r="BZ5" s="44" t="s">
        <v>311</v>
      </c>
      <c r="CA5" s="44" t="s">
        <v>312</v>
      </c>
      <c r="CB5" s="44" t="s">
        <v>311</v>
      </c>
      <c r="CC5" s="44" t="s">
        <v>312</v>
      </c>
      <c r="CD5" s="44" t="s">
        <v>311</v>
      </c>
      <c r="CE5" s="44" t="s">
        <v>312</v>
      </c>
      <c r="CF5" s="44" t="s">
        <v>311</v>
      </c>
      <c r="CG5" s="44" t="s">
        <v>312</v>
      </c>
      <c r="CH5" s="44" t="s">
        <v>311</v>
      </c>
      <c r="CI5" s="44" t="s">
        <v>312</v>
      </c>
      <c r="CJ5" s="44" t="s">
        <v>311</v>
      </c>
      <c r="CK5" s="44" t="s">
        <v>312</v>
      </c>
      <c r="CL5" s="44" t="s">
        <v>311</v>
      </c>
      <c r="CM5" s="44" t="s">
        <v>312</v>
      </c>
      <c r="CN5" s="44" t="s">
        <v>311</v>
      </c>
      <c r="CO5" s="44" t="s">
        <v>312</v>
      </c>
      <c r="CP5" s="44" t="s">
        <v>311</v>
      </c>
      <c r="CQ5" s="44" t="s">
        <v>312</v>
      </c>
      <c r="CR5" s="44" t="s">
        <v>311</v>
      </c>
      <c r="CS5" s="44" t="s">
        <v>312</v>
      </c>
      <c r="CT5" s="44" t="s">
        <v>311</v>
      </c>
      <c r="CU5" s="44" t="s">
        <v>312</v>
      </c>
      <c r="CV5" s="44" t="s">
        <v>311</v>
      </c>
      <c r="CW5" s="44" t="s">
        <v>312</v>
      </c>
      <c r="CX5" s="44" t="s">
        <v>311</v>
      </c>
      <c r="CY5" s="44" t="s">
        <v>312</v>
      </c>
      <c r="CZ5" s="44" t="s">
        <v>311</v>
      </c>
      <c r="DA5" s="44" t="s">
        <v>312</v>
      </c>
      <c r="DB5" s="44" t="s">
        <v>311</v>
      </c>
      <c r="DC5" s="44" t="s">
        <v>312</v>
      </c>
      <c r="DD5" s="44" t="s">
        <v>311</v>
      </c>
      <c r="DE5" s="44" t="s">
        <v>312</v>
      </c>
      <c r="DF5" s="44" t="s">
        <v>311</v>
      </c>
      <c r="DG5" s="44" t="s">
        <v>312</v>
      </c>
      <c r="DH5" s="44" t="s">
        <v>311</v>
      </c>
      <c r="DI5" s="44" t="s">
        <v>312</v>
      </c>
      <c r="DJ5" s="44" t="s">
        <v>311</v>
      </c>
      <c r="DK5" s="44" t="s">
        <v>312</v>
      </c>
      <c r="DL5" s="44" t="s">
        <v>311</v>
      </c>
      <c r="DM5" s="44" t="s">
        <v>312</v>
      </c>
      <c r="DN5" s="44" t="s">
        <v>311</v>
      </c>
      <c r="DO5" s="44" t="s">
        <v>312</v>
      </c>
      <c r="DP5" s="44" t="s">
        <v>311</v>
      </c>
      <c r="DQ5" s="44" t="s">
        <v>312</v>
      </c>
      <c r="DR5" s="44" t="s">
        <v>311</v>
      </c>
      <c r="DS5" s="44" t="s">
        <v>312</v>
      </c>
      <c r="DT5" s="44" t="s">
        <v>311</v>
      </c>
      <c r="DU5" s="44" t="s">
        <v>312</v>
      </c>
      <c r="DV5" s="44" t="s">
        <v>311</v>
      </c>
      <c r="DW5" s="44" t="s">
        <v>312</v>
      </c>
      <c r="DX5" s="44" t="s">
        <v>311</v>
      </c>
      <c r="DY5" s="44" t="s">
        <v>312</v>
      </c>
      <c r="DZ5" s="44" t="s">
        <v>311</v>
      </c>
      <c r="EA5" s="44" t="s">
        <v>312</v>
      </c>
      <c r="EB5" s="44" t="s">
        <v>311</v>
      </c>
      <c r="EC5" s="44" t="s">
        <v>312</v>
      </c>
      <c r="ED5" s="44" t="s">
        <v>311</v>
      </c>
      <c r="EE5" s="44" t="s">
        <v>312</v>
      </c>
      <c r="EF5" s="44" t="s">
        <v>311</v>
      </c>
      <c r="EG5" s="44" t="s">
        <v>312</v>
      </c>
    </row>
    <row r="6" spans="1:137" x14ac:dyDescent="0.25">
      <c r="A6" s="21" t="s">
        <v>313</v>
      </c>
      <c r="B6" s="21"/>
      <c r="C6" s="21"/>
      <c r="D6" s="21"/>
      <c r="E6" s="21"/>
      <c r="F6" s="21">
        <v>17289</v>
      </c>
      <c r="G6" s="21">
        <v>2110</v>
      </c>
      <c r="H6" s="21">
        <v>41332</v>
      </c>
      <c r="I6" s="21">
        <v>5427</v>
      </c>
      <c r="J6" s="21"/>
      <c r="K6" s="21"/>
      <c r="L6" s="21"/>
      <c r="M6" s="21"/>
      <c r="N6" s="21">
        <v>197849</v>
      </c>
      <c r="O6" s="21">
        <v>25838</v>
      </c>
      <c r="P6" s="21">
        <v>539982</v>
      </c>
      <c r="Q6" s="21">
        <v>69973</v>
      </c>
      <c r="R6" s="21">
        <v>760435</v>
      </c>
      <c r="S6" s="21">
        <v>57372</v>
      </c>
      <c r="T6" s="21">
        <v>2227615</v>
      </c>
      <c r="U6" s="21">
        <v>162326</v>
      </c>
      <c r="V6" s="21">
        <v>109568</v>
      </c>
      <c r="W6" s="21">
        <v>7847</v>
      </c>
      <c r="X6" s="21">
        <v>284105</v>
      </c>
      <c r="Y6" s="21">
        <v>21988</v>
      </c>
      <c r="Z6" s="21">
        <v>8201</v>
      </c>
      <c r="AA6" s="21">
        <v>1138</v>
      </c>
      <c r="AB6" s="21">
        <v>8201</v>
      </c>
      <c r="AC6" s="21">
        <v>1138</v>
      </c>
      <c r="AD6" s="21">
        <v>22828</v>
      </c>
      <c r="AE6" s="21">
        <v>2879</v>
      </c>
      <c r="AF6" s="21">
        <v>65413</v>
      </c>
      <c r="AG6" s="21">
        <v>8020</v>
      </c>
      <c r="AH6" s="21"/>
      <c r="AI6" s="21"/>
      <c r="AJ6" s="21"/>
      <c r="AK6" s="21"/>
      <c r="AL6" s="21">
        <v>1853</v>
      </c>
      <c r="AM6" s="21">
        <v>393.07</v>
      </c>
      <c r="AN6" s="21">
        <v>2408</v>
      </c>
      <c r="AO6" s="21">
        <v>448.29</v>
      </c>
      <c r="AP6" s="21"/>
      <c r="AQ6" s="21"/>
      <c r="AR6" s="21"/>
      <c r="AS6" s="21"/>
      <c r="AT6" s="21">
        <v>128181</v>
      </c>
      <c r="AU6" s="21">
        <v>14428.15</v>
      </c>
      <c r="AV6" s="21">
        <v>367299</v>
      </c>
      <c r="AW6" s="21">
        <v>42865.19</v>
      </c>
      <c r="AX6" s="21">
        <v>112307</v>
      </c>
      <c r="AY6" s="21">
        <v>6215</v>
      </c>
      <c r="AZ6" s="21">
        <v>218404</v>
      </c>
      <c r="BA6" s="21">
        <v>14503</v>
      </c>
      <c r="BB6" s="21">
        <v>167415</v>
      </c>
      <c r="BC6" s="21">
        <v>20641.900000000001</v>
      </c>
      <c r="BD6" s="21">
        <v>466818</v>
      </c>
      <c r="BE6" s="21">
        <v>59884.1</v>
      </c>
      <c r="BF6" s="21">
        <v>355282</v>
      </c>
      <c r="BG6" s="21">
        <v>41745</v>
      </c>
      <c r="BH6" s="21">
        <v>963877</v>
      </c>
      <c r="BI6" s="21">
        <v>109698</v>
      </c>
      <c r="BJ6" s="21">
        <v>1165064</v>
      </c>
      <c r="BK6" s="21">
        <v>46993.83</v>
      </c>
      <c r="BL6" s="21">
        <v>3518228</v>
      </c>
      <c r="BM6" s="21">
        <v>128805.73</v>
      </c>
      <c r="BN6" s="21">
        <v>3600</v>
      </c>
      <c r="BO6" s="21">
        <v>486</v>
      </c>
      <c r="BP6" s="21">
        <v>7738</v>
      </c>
      <c r="BQ6" s="21">
        <v>1128</v>
      </c>
      <c r="BR6" s="21">
        <v>29544</v>
      </c>
      <c r="BS6" s="21">
        <v>2837</v>
      </c>
      <c r="BT6" s="21">
        <v>79364</v>
      </c>
      <c r="BU6" s="21">
        <v>7574</v>
      </c>
      <c r="BV6" s="21">
        <v>39398</v>
      </c>
      <c r="BW6" s="21">
        <v>3013</v>
      </c>
      <c r="BX6" s="21">
        <v>133402</v>
      </c>
      <c r="BY6" s="21">
        <v>9724</v>
      </c>
      <c r="BZ6" s="21">
        <v>46028</v>
      </c>
      <c r="CA6" s="21">
        <v>9132</v>
      </c>
      <c r="CB6" s="21">
        <v>129506</v>
      </c>
      <c r="CC6" s="21">
        <v>26283</v>
      </c>
      <c r="CD6" s="39">
        <v>3004076</v>
      </c>
      <c r="CE6" s="21">
        <v>142408.24304590002</v>
      </c>
      <c r="CF6" s="39">
        <v>8032489</v>
      </c>
      <c r="CG6" s="21">
        <v>466623.96073404729</v>
      </c>
      <c r="CH6" s="21"/>
      <c r="CI6" s="21"/>
      <c r="CJ6" s="21"/>
      <c r="CK6" s="21"/>
      <c r="CL6" s="21">
        <v>1323622</v>
      </c>
      <c r="CM6" s="21">
        <v>132282.26</v>
      </c>
      <c r="CN6" s="21">
        <v>5459355</v>
      </c>
      <c r="CO6" s="21">
        <v>371565</v>
      </c>
      <c r="CP6" s="21">
        <v>6536</v>
      </c>
      <c r="CQ6" s="21">
        <v>706.39389700000004</v>
      </c>
      <c r="CR6" s="21">
        <v>18814</v>
      </c>
      <c r="CS6" s="21">
        <v>1970.8603149999999</v>
      </c>
      <c r="CT6" s="21">
        <v>464370</v>
      </c>
      <c r="CU6" s="21">
        <v>31099</v>
      </c>
      <c r="CV6" s="21">
        <v>1522170</v>
      </c>
      <c r="CW6" s="21">
        <v>99913</v>
      </c>
      <c r="CX6" s="21">
        <v>90097</v>
      </c>
      <c r="CY6" s="21">
        <v>12721</v>
      </c>
      <c r="CZ6" s="21">
        <v>244693</v>
      </c>
      <c r="DA6" s="21">
        <v>34004.5</v>
      </c>
      <c r="DB6" s="21">
        <v>72431</v>
      </c>
      <c r="DC6" s="21">
        <v>9449</v>
      </c>
      <c r="DD6" s="21">
        <v>211790</v>
      </c>
      <c r="DE6" s="21">
        <v>27520</v>
      </c>
      <c r="DF6" s="21">
        <v>36552</v>
      </c>
      <c r="DG6" s="21">
        <v>4258</v>
      </c>
      <c r="DH6" s="21">
        <v>114493</v>
      </c>
      <c r="DI6" s="21">
        <v>13226</v>
      </c>
      <c r="DJ6" s="21">
        <v>354706</v>
      </c>
      <c r="DK6" s="21">
        <v>18636.84</v>
      </c>
      <c r="DL6" s="21">
        <v>933084</v>
      </c>
      <c r="DM6" s="21">
        <v>51510.080000000002</v>
      </c>
      <c r="DN6" s="21">
        <v>868907</v>
      </c>
      <c r="DO6" s="21">
        <v>98264</v>
      </c>
      <c r="DP6" s="21">
        <v>2290997</v>
      </c>
      <c r="DQ6" s="21">
        <v>258690</v>
      </c>
      <c r="DR6" s="21">
        <v>326992</v>
      </c>
      <c r="DS6" s="21">
        <v>40618</v>
      </c>
      <c r="DT6" s="21">
        <v>907928</v>
      </c>
      <c r="DU6" s="21">
        <v>114808</v>
      </c>
      <c r="DV6" s="21"/>
      <c r="DW6" s="21"/>
      <c r="DX6" s="21"/>
      <c r="DY6" s="21"/>
      <c r="DZ6" s="21">
        <v>21041</v>
      </c>
      <c r="EA6" s="21">
        <v>2515</v>
      </c>
      <c r="EB6" s="21">
        <v>63934</v>
      </c>
      <c r="EC6" s="21">
        <v>7955</v>
      </c>
      <c r="ED6" s="21">
        <f>B6+F6+J6+N6+R6+V6+Z6+AD6+AH6+AL6+AP6+AT6+AX6+BB6+BF6+BJ6+BN6+BR6+BV6+BZ6+CD6+CH6+CL6+CP6+CT6+CX6+DB6+DF6+DJ6+DN6+DR6+DV6+DZ6</f>
        <v>9734172</v>
      </c>
      <c r="EE6" s="21">
        <f t="shared" ref="EE6:EG6" si="0">C6+G6+K6+O6+S6+W6+AA6+AE6+AI6+AM6+AQ6+AU6+AY6+BC6+BG6+BK6+BO6+BS6+BW6+CA6+CE6+CI6+CM6+CQ6+CU6+CY6+DC6+DG6+DK6+DO6+DS6+DW6+EA6</f>
        <v>736026.68694289995</v>
      </c>
      <c r="EF6" s="21">
        <f t="shared" si="0"/>
        <v>28853439</v>
      </c>
      <c r="EG6" s="21">
        <f t="shared" si="0"/>
        <v>2117571.7110490473</v>
      </c>
    </row>
    <row r="7" spans="1:137" x14ac:dyDescent="0.25">
      <c r="A7" s="21" t="s">
        <v>314</v>
      </c>
      <c r="B7" s="21"/>
      <c r="C7" s="21"/>
      <c r="D7" s="21"/>
      <c r="E7" s="21"/>
      <c r="F7" s="21">
        <v>41183</v>
      </c>
      <c r="G7" s="21">
        <v>3528</v>
      </c>
      <c r="H7" s="21">
        <v>103846</v>
      </c>
      <c r="I7" s="21">
        <v>8761</v>
      </c>
      <c r="J7" s="21"/>
      <c r="K7" s="21"/>
      <c r="L7" s="21"/>
      <c r="M7" s="21"/>
      <c r="N7" s="21">
        <v>24530</v>
      </c>
      <c r="O7" s="21">
        <v>9365</v>
      </c>
      <c r="P7" s="21">
        <v>52081</v>
      </c>
      <c r="Q7" s="21">
        <v>20951</v>
      </c>
      <c r="R7" s="21">
        <v>1814397</v>
      </c>
      <c r="S7" s="21">
        <v>32186</v>
      </c>
      <c r="T7" s="21">
        <v>4659232</v>
      </c>
      <c r="U7" s="21">
        <v>87715</v>
      </c>
      <c r="V7" s="21">
        <v>19758</v>
      </c>
      <c r="W7" s="21">
        <v>1138</v>
      </c>
      <c r="X7" s="21">
        <v>40643</v>
      </c>
      <c r="Y7" s="21">
        <v>3068</v>
      </c>
      <c r="Z7" s="21">
        <v>275908</v>
      </c>
      <c r="AA7" s="21">
        <v>32986</v>
      </c>
      <c r="AB7" s="21">
        <v>275908</v>
      </c>
      <c r="AC7" s="21">
        <v>32986</v>
      </c>
      <c r="AD7" s="21">
        <v>3074</v>
      </c>
      <c r="AE7" s="21">
        <v>2177</v>
      </c>
      <c r="AF7" s="21">
        <v>8437</v>
      </c>
      <c r="AG7" s="21">
        <v>5582</v>
      </c>
      <c r="AH7" s="21">
        <v>7</v>
      </c>
      <c r="AI7" s="21">
        <v>0</v>
      </c>
      <c r="AJ7" s="21">
        <v>7</v>
      </c>
      <c r="AK7" s="21">
        <v>0</v>
      </c>
      <c r="AL7" s="21"/>
      <c r="AM7" s="21"/>
      <c r="AN7" s="21"/>
      <c r="AO7" s="21"/>
      <c r="AP7" s="21"/>
      <c r="AQ7" s="21">
        <v>0.66</v>
      </c>
      <c r="AR7" s="21"/>
      <c r="AS7" s="21">
        <v>0.98</v>
      </c>
      <c r="AT7" s="21">
        <v>117695</v>
      </c>
      <c r="AU7" s="21">
        <v>2042.57</v>
      </c>
      <c r="AV7" s="21">
        <v>424527</v>
      </c>
      <c r="AW7" s="21">
        <v>6949.57</v>
      </c>
      <c r="AX7" s="21"/>
      <c r="AY7" s="21"/>
      <c r="AZ7" s="21"/>
      <c r="BA7" s="21"/>
      <c r="BB7" s="21">
        <v>736671</v>
      </c>
      <c r="BC7" s="21">
        <v>41323.699999999997</v>
      </c>
      <c r="BD7" s="21">
        <v>2211062</v>
      </c>
      <c r="BE7" s="21">
        <v>120180.7</v>
      </c>
      <c r="BF7" s="21">
        <v>155805</v>
      </c>
      <c r="BG7" s="21">
        <v>29368</v>
      </c>
      <c r="BH7" s="21">
        <v>1007519</v>
      </c>
      <c r="BI7" s="21">
        <v>82652</v>
      </c>
      <c r="BJ7" s="21">
        <v>15405</v>
      </c>
      <c r="BK7" s="21">
        <v>408.25</v>
      </c>
      <c r="BL7" s="21">
        <v>46338</v>
      </c>
      <c r="BM7" s="21">
        <v>1202.17</v>
      </c>
      <c r="BN7" s="21">
        <v>24603</v>
      </c>
      <c r="BO7" s="21">
        <v>3162</v>
      </c>
      <c r="BP7" s="21">
        <v>70354</v>
      </c>
      <c r="BQ7" s="21">
        <v>8785</v>
      </c>
      <c r="BR7" s="21">
        <v>17552</v>
      </c>
      <c r="BS7" s="21">
        <v>436</v>
      </c>
      <c r="BT7" s="21">
        <v>44039</v>
      </c>
      <c r="BU7" s="21">
        <v>1125</v>
      </c>
      <c r="BV7" s="21">
        <v>1785</v>
      </c>
      <c r="BW7" s="21">
        <v>22</v>
      </c>
      <c r="BX7" s="21">
        <v>5450</v>
      </c>
      <c r="BY7" s="21">
        <v>84</v>
      </c>
      <c r="BZ7" s="21">
        <v>11662</v>
      </c>
      <c r="CA7" s="21">
        <v>3925</v>
      </c>
      <c r="CB7" s="21">
        <v>27716</v>
      </c>
      <c r="CC7" s="21">
        <v>10116</v>
      </c>
      <c r="CD7" s="39">
        <v>132976</v>
      </c>
      <c r="CE7" s="21">
        <v>4711.1939202000003</v>
      </c>
      <c r="CF7" s="39">
        <v>483210</v>
      </c>
      <c r="CG7" s="21">
        <v>26375.449066024245</v>
      </c>
      <c r="CH7" s="21"/>
      <c r="CI7" s="21"/>
      <c r="CJ7" s="21"/>
      <c r="CK7" s="21"/>
      <c r="CL7" s="21">
        <v>29175</v>
      </c>
      <c r="CM7" s="21">
        <v>1183.0899999999999</v>
      </c>
      <c r="CN7" s="21">
        <v>105296</v>
      </c>
      <c r="CO7" s="21">
        <v>3442</v>
      </c>
      <c r="CP7" s="21">
        <v>0</v>
      </c>
      <c r="CQ7" s="21">
        <v>0</v>
      </c>
      <c r="CR7" s="21">
        <v>0</v>
      </c>
      <c r="CS7" s="21">
        <v>0</v>
      </c>
      <c r="CT7" s="21">
        <v>66064</v>
      </c>
      <c r="CU7" s="21">
        <v>5739</v>
      </c>
      <c r="CV7" s="21">
        <v>379668</v>
      </c>
      <c r="CW7" s="21">
        <v>14045</v>
      </c>
      <c r="CX7" s="21">
        <v>31365</v>
      </c>
      <c r="CY7" s="21">
        <v>9189.7999999999993</v>
      </c>
      <c r="CZ7" s="21">
        <v>95459</v>
      </c>
      <c r="DA7" s="21">
        <v>25613.1</v>
      </c>
      <c r="DB7" s="21">
        <v>9484</v>
      </c>
      <c r="DC7" s="21">
        <v>1234</v>
      </c>
      <c r="DD7" s="21">
        <v>37908</v>
      </c>
      <c r="DE7" s="21">
        <v>5181</v>
      </c>
      <c r="DF7" s="21">
        <v>894090</v>
      </c>
      <c r="DG7" s="21">
        <v>46504</v>
      </c>
      <c r="DH7" s="21">
        <v>1908858</v>
      </c>
      <c r="DI7" s="21">
        <v>118438</v>
      </c>
      <c r="DJ7" s="21">
        <v>8059</v>
      </c>
      <c r="DK7" s="21">
        <v>165.26</v>
      </c>
      <c r="DL7" s="21">
        <v>22920</v>
      </c>
      <c r="DM7" s="21">
        <v>481.2</v>
      </c>
      <c r="DN7" s="21">
        <v>19318</v>
      </c>
      <c r="DO7" s="21">
        <v>1936</v>
      </c>
      <c r="DP7" s="21">
        <v>52182</v>
      </c>
      <c r="DQ7" s="21">
        <v>4653</v>
      </c>
      <c r="DR7" s="21">
        <v>429279</v>
      </c>
      <c r="DS7" s="21">
        <v>16349</v>
      </c>
      <c r="DT7" s="21">
        <v>1135311</v>
      </c>
      <c r="DU7" s="21">
        <v>44317</v>
      </c>
      <c r="DV7" s="21"/>
      <c r="DW7" s="21"/>
      <c r="DX7" s="21"/>
      <c r="DY7" s="21"/>
      <c r="DZ7" s="21">
        <v>165223</v>
      </c>
      <c r="EA7" s="21">
        <v>8290</v>
      </c>
      <c r="EB7" s="21">
        <v>498034</v>
      </c>
      <c r="EC7" s="21">
        <v>25769</v>
      </c>
      <c r="ED7" s="21">
        <f t="shared" ref="ED7:ED15" si="1">B7+F7+J7+N7+R7+V7+Z7+AD7+AH7+AL7+AP7+AT7+AX7+BB7+BF7+BJ7+BN7+BR7+BV7+BZ7+CD7+CH7+CL7+CP7+CT7+CX7+DB7+DF7+DJ7+DN7+DR7+DV7+DZ7</f>
        <v>5045068</v>
      </c>
      <c r="EE7" s="21">
        <f t="shared" ref="EE7:EE15" si="2">C7+G7+K7+O7+S7+W7+AA7+AE7+AI7+AM7+AQ7+AU7+AY7+BC7+BG7+BK7+BO7+BS7+BW7+CA7+CE7+CI7+CM7+CQ7+CU7+CY7+DC7+DG7+DK7+DO7+DS7+DW7+EA7</f>
        <v>257369.52392019998</v>
      </c>
      <c r="EF7" s="21">
        <f t="shared" ref="EF7:EF15" si="3">D7+H7+L7+P7+T7+X7+AB7+AF7+AJ7+AN7+AR7+AV7+AZ7+BD7+BH7+BL7+BP7+BT7+BX7+CB7+CF7+CJ7+CN7+CR7+CV7+CZ7+DD7+DH7+DL7+DP7+DT7+DX7+EB7</f>
        <v>13696005</v>
      </c>
      <c r="EG7" s="21">
        <f t="shared" ref="EG7:EG15" si="4">E7+I7+M7+Q7+U7+Y7+AC7+AG7+AK7+AO7+AS7+AW7+BA7+BE7+BI7+BM7+BQ7+BU7+BY7+CC7+CG7+CK7+CO7+CS7+CW7+DA7+DE7+DI7+DM7+DQ7+DU7+DY7+EC7</f>
        <v>658473.16906602413</v>
      </c>
    </row>
    <row r="8" spans="1:137" x14ac:dyDescent="0.25">
      <c r="A8" s="21" t="s">
        <v>315</v>
      </c>
      <c r="B8" s="21"/>
      <c r="C8" s="21"/>
      <c r="D8" s="21"/>
      <c r="E8" s="21"/>
      <c r="F8" s="21">
        <v>843</v>
      </c>
      <c r="G8" s="21">
        <v>1308</v>
      </c>
      <c r="H8" s="21">
        <v>2456</v>
      </c>
      <c r="I8" s="21">
        <v>1995</v>
      </c>
      <c r="J8" s="21"/>
      <c r="K8" s="21"/>
      <c r="L8" s="21"/>
      <c r="M8" s="21"/>
      <c r="N8" s="21">
        <v>385</v>
      </c>
      <c r="O8" s="21">
        <v>188</v>
      </c>
      <c r="P8" s="21">
        <v>2030</v>
      </c>
      <c r="Q8" s="21">
        <v>547</v>
      </c>
      <c r="R8" s="21">
        <v>1057010</v>
      </c>
      <c r="S8" s="21">
        <v>11245</v>
      </c>
      <c r="T8" s="21">
        <v>1327768</v>
      </c>
      <c r="U8" s="21">
        <v>37018</v>
      </c>
      <c r="V8" s="21">
        <v>5959</v>
      </c>
      <c r="W8" s="21">
        <v>2448</v>
      </c>
      <c r="X8" s="21">
        <v>13964</v>
      </c>
      <c r="Y8" s="21">
        <v>9178</v>
      </c>
      <c r="Z8" s="21">
        <v>274788</v>
      </c>
      <c r="AA8" s="21">
        <v>37039</v>
      </c>
      <c r="AB8" s="21">
        <v>274788</v>
      </c>
      <c r="AC8" s="21">
        <v>37039</v>
      </c>
      <c r="AD8" s="21">
        <v>5561</v>
      </c>
      <c r="AE8" s="21">
        <v>732</v>
      </c>
      <c r="AF8" s="21">
        <v>24583</v>
      </c>
      <c r="AG8" s="21">
        <v>5796</v>
      </c>
      <c r="AH8" s="21">
        <v>4939</v>
      </c>
      <c r="AI8" s="21">
        <v>184</v>
      </c>
      <c r="AJ8" s="21">
        <v>208217</v>
      </c>
      <c r="AK8" s="21">
        <v>18887</v>
      </c>
      <c r="AL8" s="21">
        <v>11</v>
      </c>
      <c r="AM8" s="21">
        <v>1.1399999999999999</v>
      </c>
      <c r="AN8" s="21">
        <v>19</v>
      </c>
      <c r="AO8" s="21">
        <v>1.6</v>
      </c>
      <c r="AP8" s="21"/>
      <c r="AQ8" s="21"/>
      <c r="AR8" s="21"/>
      <c r="AS8" s="21"/>
      <c r="AT8" s="21">
        <v>20144</v>
      </c>
      <c r="AU8" s="21">
        <v>2139.1999999999998</v>
      </c>
      <c r="AV8" s="21">
        <v>51324</v>
      </c>
      <c r="AW8" s="21">
        <v>4986.8900000000003</v>
      </c>
      <c r="AX8" s="21">
        <v>52152</v>
      </c>
      <c r="AY8" s="21">
        <v>2491</v>
      </c>
      <c r="AZ8" s="21">
        <v>77574</v>
      </c>
      <c r="BA8" s="21">
        <v>4202</v>
      </c>
      <c r="BB8" s="21">
        <v>215568</v>
      </c>
      <c r="BC8" s="21">
        <v>14404.9</v>
      </c>
      <c r="BD8" s="21">
        <v>402733</v>
      </c>
      <c r="BE8" s="21">
        <v>39346.6</v>
      </c>
      <c r="BF8" s="21">
        <v>69505</v>
      </c>
      <c r="BG8" s="21">
        <v>9062</v>
      </c>
      <c r="BH8" s="21">
        <v>1897991</v>
      </c>
      <c r="BI8" s="21">
        <v>55865</v>
      </c>
      <c r="BJ8" s="21">
        <v>5371</v>
      </c>
      <c r="BK8" s="21">
        <v>214.65</v>
      </c>
      <c r="BL8" s="21">
        <v>20587</v>
      </c>
      <c r="BM8" s="21">
        <v>839.57</v>
      </c>
      <c r="BN8" s="21">
        <v>2209</v>
      </c>
      <c r="BO8" s="21">
        <v>277</v>
      </c>
      <c r="BP8" s="21">
        <v>6695</v>
      </c>
      <c r="BQ8" s="21">
        <v>838</v>
      </c>
      <c r="BR8" s="21">
        <v>777</v>
      </c>
      <c r="BS8" s="21">
        <v>140</v>
      </c>
      <c r="BT8" s="21">
        <v>998</v>
      </c>
      <c r="BU8" s="21">
        <v>279</v>
      </c>
      <c r="BV8" s="21">
        <v>54777</v>
      </c>
      <c r="BW8" s="21">
        <v>4844</v>
      </c>
      <c r="BX8" s="21">
        <v>152438</v>
      </c>
      <c r="BY8" s="21">
        <v>12952</v>
      </c>
      <c r="BZ8" s="21">
        <v>79</v>
      </c>
      <c r="CA8" s="21">
        <v>2264</v>
      </c>
      <c r="CB8" s="21">
        <v>107</v>
      </c>
      <c r="CC8" s="21">
        <v>5997</v>
      </c>
      <c r="CD8" s="39">
        <v>642078</v>
      </c>
      <c r="CE8" s="21">
        <v>10863.379026300001</v>
      </c>
      <c r="CF8" s="39">
        <v>4054231</v>
      </c>
      <c r="CG8" s="21">
        <v>150000.42759209161</v>
      </c>
      <c r="CH8" s="21"/>
      <c r="CI8" s="21"/>
      <c r="CJ8" s="21"/>
      <c r="CK8" s="21"/>
      <c r="CL8" s="21">
        <v>16050</v>
      </c>
      <c r="CM8" s="21">
        <v>2100.1799999999998</v>
      </c>
      <c r="CN8" s="21">
        <v>75233</v>
      </c>
      <c r="CO8" s="21">
        <v>3771</v>
      </c>
      <c r="CP8" s="21">
        <v>0</v>
      </c>
      <c r="CQ8" s="21">
        <v>0</v>
      </c>
      <c r="CR8" s="21">
        <v>0</v>
      </c>
      <c r="CS8" s="21">
        <v>0</v>
      </c>
      <c r="CT8" s="21">
        <v>21596</v>
      </c>
      <c r="CU8" s="21">
        <v>7861</v>
      </c>
      <c r="CV8" s="21">
        <v>61686</v>
      </c>
      <c r="CW8" s="21">
        <v>27688</v>
      </c>
      <c r="CX8" s="21">
        <v>2775</v>
      </c>
      <c r="CY8" s="21">
        <v>476.3</v>
      </c>
      <c r="CZ8" s="21">
        <v>6990</v>
      </c>
      <c r="DA8" s="21">
        <v>1008.6</v>
      </c>
      <c r="DB8" s="21">
        <v>38410</v>
      </c>
      <c r="DC8" s="21">
        <v>9716</v>
      </c>
      <c r="DD8" s="21">
        <v>114967</v>
      </c>
      <c r="DE8" s="21">
        <v>29361</v>
      </c>
      <c r="DF8" s="21">
        <v>731</v>
      </c>
      <c r="DG8" s="21">
        <v>146</v>
      </c>
      <c r="DH8" s="21">
        <v>2109</v>
      </c>
      <c r="DI8" s="21">
        <v>245</v>
      </c>
      <c r="DJ8" s="21">
        <v>160489</v>
      </c>
      <c r="DK8" s="21">
        <v>32286.81</v>
      </c>
      <c r="DL8" s="21">
        <v>484380</v>
      </c>
      <c r="DM8" s="21">
        <v>96527.94</v>
      </c>
      <c r="DN8" s="21">
        <v>2936</v>
      </c>
      <c r="DO8" s="21">
        <v>299</v>
      </c>
      <c r="DP8" s="21">
        <v>8327</v>
      </c>
      <c r="DQ8" s="21">
        <v>849</v>
      </c>
      <c r="DR8" s="21">
        <v>530301</v>
      </c>
      <c r="DS8" s="21">
        <v>5831</v>
      </c>
      <c r="DT8" s="21">
        <v>2286179</v>
      </c>
      <c r="DU8" s="21">
        <v>31013</v>
      </c>
      <c r="DV8" s="21"/>
      <c r="DW8" s="21"/>
      <c r="DX8" s="21"/>
      <c r="DY8" s="21"/>
      <c r="DZ8" s="21">
        <v>81</v>
      </c>
      <c r="EA8" s="21">
        <v>9</v>
      </c>
      <c r="EB8" s="21">
        <v>211</v>
      </c>
      <c r="EC8" s="21">
        <v>19</v>
      </c>
      <c r="ED8" s="21">
        <f t="shared" si="1"/>
        <v>3185525</v>
      </c>
      <c r="EE8" s="21">
        <f t="shared" si="2"/>
        <v>158570.55902629998</v>
      </c>
      <c r="EF8" s="21">
        <f t="shared" si="3"/>
        <v>11558585</v>
      </c>
      <c r="EG8" s="21">
        <f t="shared" si="4"/>
        <v>576250.62759209168</v>
      </c>
    </row>
    <row r="9" spans="1:137" x14ac:dyDescent="0.25">
      <c r="A9" s="21" t="s">
        <v>316</v>
      </c>
      <c r="B9" s="21">
        <v>12507</v>
      </c>
      <c r="C9" s="21">
        <v>579</v>
      </c>
      <c r="D9" s="21">
        <v>14448</v>
      </c>
      <c r="E9" s="21">
        <v>634</v>
      </c>
      <c r="F9" s="21">
        <v>4842</v>
      </c>
      <c r="G9" s="21">
        <v>5743</v>
      </c>
      <c r="H9" s="21">
        <v>12518</v>
      </c>
      <c r="I9" s="21">
        <v>12291</v>
      </c>
      <c r="J9" s="21">
        <v>1044</v>
      </c>
      <c r="K9" s="21">
        <v>0</v>
      </c>
      <c r="L9" s="21">
        <v>12567</v>
      </c>
      <c r="M9" s="21">
        <v>-1971.12</v>
      </c>
      <c r="N9" s="21">
        <v>15204</v>
      </c>
      <c r="O9" s="21">
        <v>4202</v>
      </c>
      <c r="P9" s="21">
        <v>43173</v>
      </c>
      <c r="Q9" s="21">
        <v>9965</v>
      </c>
      <c r="R9" s="21">
        <v>76097</v>
      </c>
      <c r="S9" s="21">
        <v>94227</v>
      </c>
      <c r="T9" s="21">
        <v>1826016</v>
      </c>
      <c r="U9" s="21">
        <v>264304</v>
      </c>
      <c r="V9" s="21">
        <v>300957</v>
      </c>
      <c r="W9" s="21">
        <v>28355</v>
      </c>
      <c r="X9" s="21">
        <v>706592</v>
      </c>
      <c r="Y9" s="21">
        <v>71616</v>
      </c>
      <c r="Z9" s="21">
        <v>78557</v>
      </c>
      <c r="AA9" s="21">
        <v>12342</v>
      </c>
      <c r="AB9" s="21">
        <v>78557</v>
      </c>
      <c r="AC9" s="21">
        <v>12342</v>
      </c>
      <c r="AD9" s="21">
        <v>15050</v>
      </c>
      <c r="AE9" s="21">
        <v>4189</v>
      </c>
      <c r="AF9" s="21">
        <v>42049</v>
      </c>
      <c r="AG9" s="21">
        <v>12426</v>
      </c>
      <c r="AH9" s="21">
        <v>71</v>
      </c>
      <c r="AI9" s="21">
        <v>210</v>
      </c>
      <c r="AJ9" s="21">
        <v>392</v>
      </c>
      <c r="AK9" s="21">
        <v>542</v>
      </c>
      <c r="AL9" s="21">
        <v>2217</v>
      </c>
      <c r="AM9" s="21">
        <v>1365.2</v>
      </c>
      <c r="AN9" s="21">
        <v>2352</v>
      </c>
      <c r="AO9" s="21">
        <v>2728.45</v>
      </c>
      <c r="AP9" s="21">
        <v>75</v>
      </c>
      <c r="AQ9" s="21">
        <v>1985.22</v>
      </c>
      <c r="AR9" s="21">
        <v>226</v>
      </c>
      <c r="AS9" s="21">
        <v>5723.17</v>
      </c>
      <c r="AT9" s="21">
        <v>66362</v>
      </c>
      <c r="AU9" s="21">
        <v>18457.52</v>
      </c>
      <c r="AV9" s="21">
        <v>195957</v>
      </c>
      <c r="AW9" s="21">
        <v>49054.94</v>
      </c>
      <c r="AX9" s="21">
        <v>49728</v>
      </c>
      <c r="AY9" s="21">
        <v>5193</v>
      </c>
      <c r="AZ9" s="21">
        <v>105377</v>
      </c>
      <c r="BA9" s="21">
        <v>11600</v>
      </c>
      <c r="BB9" s="21">
        <v>509939</v>
      </c>
      <c r="BC9" s="21">
        <v>70926.7</v>
      </c>
      <c r="BD9" s="21">
        <v>1273048</v>
      </c>
      <c r="BE9" s="21">
        <v>173165.2</v>
      </c>
      <c r="BF9" s="21">
        <v>5461824</v>
      </c>
      <c r="BG9" s="21">
        <v>187221</v>
      </c>
      <c r="BH9" s="21">
        <v>10321961</v>
      </c>
      <c r="BI9" s="21">
        <v>435606</v>
      </c>
      <c r="BJ9" s="21">
        <v>411066</v>
      </c>
      <c r="BK9" s="21">
        <v>61721.26</v>
      </c>
      <c r="BL9" s="21">
        <v>1199501</v>
      </c>
      <c r="BM9" s="21">
        <v>175537.85</v>
      </c>
      <c r="BN9" s="21">
        <v>23302</v>
      </c>
      <c r="BO9" s="21">
        <v>2112</v>
      </c>
      <c r="BP9" s="21">
        <v>54768</v>
      </c>
      <c r="BQ9" s="21">
        <v>4582</v>
      </c>
      <c r="BR9" s="21">
        <v>242322</v>
      </c>
      <c r="BS9" s="21">
        <v>18784</v>
      </c>
      <c r="BT9" s="21">
        <v>637936</v>
      </c>
      <c r="BU9" s="21">
        <v>51803</v>
      </c>
      <c r="BV9" s="21">
        <v>83753</v>
      </c>
      <c r="BW9" s="21">
        <v>9392</v>
      </c>
      <c r="BX9" s="21">
        <v>185451</v>
      </c>
      <c r="BY9" s="21">
        <v>20318</v>
      </c>
      <c r="BZ9" s="21">
        <v>13186</v>
      </c>
      <c r="CA9" s="21">
        <v>2188</v>
      </c>
      <c r="CB9" s="21">
        <v>32840</v>
      </c>
      <c r="CC9" s="21">
        <v>5694</v>
      </c>
      <c r="CD9" s="39">
        <v>444339</v>
      </c>
      <c r="CE9" s="21">
        <v>72686.174740999995</v>
      </c>
      <c r="CF9" s="39">
        <v>233339</v>
      </c>
      <c r="CG9" s="21">
        <v>188184.47805468226</v>
      </c>
      <c r="CH9" s="21"/>
      <c r="CI9" s="21"/>
      <c r="CJ9" s="21"/>
      <c r="CK9" s="21"/>
      <c r="CL9" s="21">
        <v>882596</v>
      </c>
      <c r="CM9" s="21">
        <v>71357.570000000007</v>
      </c>
      <c r="CN9" s="21">
        <v>1000952</v>
      </c>
      <c r="CO9" s="21">
        <v>203205</v>
      </c>
      <c r="CP9" s="21">
        <v>4359</v>
      </c>
      <c r="CQ9" s="21">
        <v>1236.502</v>
      </c>
      <c r="CR9" s="21">
        <v>16967</v>
      </c>
      <c r="CS9" s="21">
        <v>4052.4268149999998</v>
      </c>
      <c r="CT9" s="21">
        <v>630130</v>
      </c>
      <c r="CU9" s="21">
        <v>43992</v>
      </c>
      <c r="CV9" s="21">
        <v>1254214</v>
      </c>
      <c r="CW9" s="21">
        <v>131094</v>
      </c>
      <c r="CX9" s="21">
        <v>33336</v>
      </c>
      <c r="CY9" s="21">
        <v>11284.1</v>
      </c>
      <c r="CZ9" s="21">
        <v>94334</v>
      </c>
      <c r="DA9" s="21">
        <v>37643.699999999997</v>
      </c>
      <c r="DB9" s="21">
        <v>244031</v>
      </c>
      <c r="DC9" s="21">
        <v>36401</v>
      </c>
      <c r="DD9" s="21">
        <v>770154</v>
      </c>
      <c r="DE9" s="21">
        <v>119955</v>
      </c>
      <c r="DF9" s="21">
        <v>104896</v>
      </c>
      <c r="DG9" s="21">
        <v>21640</v>
      </c>
      <c r="DH9" s="21">
        <v>338703</v>
      </c>
      <c r="DI9" s="21">
        <v>71965</v>
      </c>
      <c r="DJ9" s="21">
        <v>66963</v>
      </c>
      <c r="DK9" s="21">
        <v>2459.08</v>
      </c>
      <c r="DL9" s="21">
        <v>172941</v>
      </c>
      <c r="DM9" s="21">
        <v>5789.26</v>
      </c>
      <c r="DN9" s="21">
        <v>13192</v>
      </c>
      <c r="DO9" s="21">
        <v>4434</v>
      </c>
      <c r="DP9" s="21">
        <v>32834</v>
      </c>
      <c r="DQ9" s="21">
        <v>13747</v>
      </c>
      <c r="DR9" s="21">
        <v>1250260</v>
      </c>
      <c r="DS9" s="21">
        <v>85246</v>
      </c>
      <c r="DT9" s="21">
        <v>2241165</v>
      </c>
      <c r="DU9" s="21">
        <v>218023</v>
      </c>
      <c r="DV9" s="21"/>
      <c r="DW9" s="21"/>
      <c r="DX9" s="21"/>
      <c r="DY9" s="21"/>
      <c r="DZ9" s="21">
        <v>129196</v>
      </c>
      <c r="EA9" s="21">
        <v>16874</v>
      </c>
      <c r="EB9" s="21">
        <v>293742</v>
      </c>
      <c r="EC9" s="21">
        <v>36012</v>
      </c>
      <c r="ED9" s="21">
        <f t="shared" si="1"/>
        <v>11171401</v>
      </c>
      <c r="EE9" s="21">
        <f t="shared" si="2"/>
        <v>896803.32674100006</v>
      </c>
      <c r="EF9" s="21">
        <f t="shared" si="3"/>
        <v>23195074</v>
      </c>
      <c r="EG9" s="21">
        <f t="shared" si="4"/>
        <v>2347632.3548696823</v>
      </c>
    </row>
    <row r="10" spans="1:137" x14ac:dyDescent="0.25">
      <c r="A10" s="21" t="s">
        <v>317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>
        <v>5038</v>
      </c>
      <c r="M10" s="21">
        <v>183.03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>
        <v>1</v>
      </c>
      <c r="AU10" s="21">
        <v>1.05</v>
      </c>
      <c r="AV10" s="21">
        <v>7</v>
      </c>
      <c r="AW10" s="21">
        <v>10.56</v>
      </c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>
        <v>42</v>
      </c>
      <c r="BK10" s="21">
        <v>0.26</v>
      </c>
      <c r="BL10" s="21">
        <v>216</v>
      </c>
      <c r="BM10" s="21">
        <v>3.91</v>
      </c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39"/>
      <c r="CE10" s="21"/>
      <c r="CF10" s="39"/>
      <c r="CG10" s="21"/>
      <c r="CH10" s="21"/>
      <c r="CI10" s="21"/>
      <c r="CJ10" s="21"/>
      <c r="CK10" s="21"/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/>
      <c r="CU10" s="21"/>
      <c r="CV10" s="21"/>
      <c r="CW10" s="21"/>
      <c r="CX10" s="21">
        <v>82</v>
      </c>
      <c r="CY10" s="21">
        <v>389.1</v>
      </c>
      <c r="CZ10" s="21">
        <v>244</v>
      </c>
      <c r="DA10" s="21">
        <v>821.7</v>
      </c>
      <c r="DB10" s="21">
        <v>9</v>
      </c>
      <c r="DC10" s="21">
        <v>0</v>
      </c>
      <c r="DD10" s="21">
        <v>22</v>
      </c>
      <c r="DE10" s="21">
        <v>2</v>
      </c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>
        <f t="shared" si="1"/>
        <v>134</v>
      </c>
      <c r="EE10" s="21">
        <f t="shared" si="2"/>
        <v>390.41</v>
      </c>
      <c r="EF10" s="21">
        <f t="shared" si="3"/>
        <v>5527</v>
      </c>
      <c r="EG10" s="21">
        <f t="shared" si="4"/>
        <v>1021.2</v>
      </c>
    </row>
    <row r="11" spans="1:137" x14ac:dyDescent="0.25">
      <c r="A11" s="21" t="s">
        <v>321</v>
      </c>
      <c r="B11" s="21">
        <v>48738</v>
      </c>
      <c r="C11" s="21">
        <v>6018</v>
      </c>
      <c r="D11" s="21">
        <v>70753</v>
      </c>
      <c r="E11" s="21">
        <v>8255</v>
      </c>
      <c r="F11" s="21">
        <v>7674</v>
      </c>
      <c r="G11" s="21">
        <v>1175</v>
      </c>
      <c r="H11" s="21">
        <v>20802</v>
      </c>
      <c r="I11" s="21">
        <v>3081</v>
      </c>
      <c r="J11" s="21">
        <v>2397</v>
      </c>
      <c r="K11" s="21">
        <v>140.6</v>
      </c>
      <c r="L11" s="21">
        <v>8458</v>
      </c>
      <c r="M11" s="21">
        <v>162.03</v>
      </c>
      <c r="N11" s="21">
        <v>30683</v>
      </c>
      <c r="O11" s="21">
        <v>8542</v>
      </c>
      <c r="P11" s="21">
        <v>96573</v>
      </c>
      <c r="Q11" s="21">
        <v>24469</v>
      </c>
      <c r="R11" s="21">
        <v>1438316</v>
      </c>
      <c r="S11" s="21">
        <v>51680</v>
      </c>
      <c r="T11" s="21">
        <v>2482959</v>
      </c>
      <c r="U11" s="21">
        <v>197171</v>
      </c>
      <c r="V11" s="21">
        <v>614058</v>
      </c>
      <c r="W11" s="21">
        <v>17440</v>
      </c>
      <c r="X11" s="21">
        <v>945738</v>
      </c>
      <c r="Y11" s="21">
        <v>58216</v>
      </c>
      <c r="Z11" s="21">
        <v>56793</v>
      </c>
      <c r="AA11" s="21">
        <v>28339</v>
      </c>
      <c r="AB11" s="21">
        <v>56793</v>
      </c>
      <c r="AC11" s="21">
        <v>28333</v>
      </c>
      <c r="AD11" s="21">
        <v>8799</v>
      </c>
      <c r="AE11" s="21">
        <v>1037</v>
      </c>
      <c r="AF11" s="21">
        <v>31337</v>
      </c>
      <c r="AG11" s="21">
        <v>3752</v>
      </c>
      <c r="AH11" s="21">
        <f>13198+1760</f>
        <v>14958</v>
      </c>
      <c r="AI11" s="21">
        <f>282+162</f>
        <v>444</v>
      </c>
      <c r="AJ11" s="21">
        <f>14630+1815</f>
        <v>16445</v>
      </c>
      <c r="AK11" s="21">
        <f>305+1210</f>
        <v>1515</v>
      </c>
      <c r="AL11" s="21">
        <v>2166</v>
      </c>
      <c r="AM11" s="21">
        <v>516.55999999999995</v>
      </c>
      <c r="AN11" s="21">
        <v>7561</v>
      </c>
      <c r="AO11" s="21">
        <v>2121.06</v>
      </c>
      <c r="AP11" s="21">
        <v>1157</v>
      </c>
      <c r="AQ11" s="21">
        <v>8120.35</v>
      </c>
      <c r="AR11" s="21">
        <v>3668</v>
      </c>
      <c r="AS11" s="21">
        <v>24024.799999999999</v>
      </c>
      <c r="AT11" s="21">
        <v>78037</v>
      </c>
      <c r="AU11" s="21">
        <v>20516.5</v>
      </c>
      <c r="AV11" s="21">
        <v>240757</v>
      </c>
      <c r="AW11" s="21">
        <v>66130.55</v>
      </c>
      <c r="AX11" s="21">
        <v>416514</v>
      </c>
      <c r="AY11" s="21">
        <v>11676</v>
      </c>
      <c r="AZ11" s="21">
        <v>927669</v>
      </c>
      <c r="BA11" s="21">
        <v>22629</v>
      </c>
      <c r="BB11" s="21">
        <v>297374</v>
      </c>
      <c r="BC11" s="21">
        <v>74688.600000000006</v>
      </c>
      <c r="BD11" s="21">
        <v>695733</v>
      </c>
      <c r="BE11" s="21">
        <v>235603.6</v>
      </c>
      <c r="BF11" s="21">
        <f>474113+593500</f>
        <v>1067613</v>
      </c>
      <c r="BG11" s="21">
        <f>6047+69329</f>
        <v>75376</v>
      </c>
      <c r="BH11" s="21">
        <f>1628169+2231910</f>
        <v>3860079</v>
      </c>
      <c r="BI11" s="21">
        <f>18367+338114</f>
        <v>356481</v>
      </c>
      <c r="BJ11" s="21">
        <v>98918</v>
      </c>
      <c r="BK11" s="21">
        <v>58681.27</v>
      </c>
      <c r="BL11" s="21">
        <v>326739</v>
      </c>
      <c r="BM11" s="21">
        <v>209434.13</v>
      </c>
      <c r="BN11" s="21">
        <v>99384</v>
      </c>
      <c r="BO11" s="21">
        <v>1190</v>
      </c>
      <c r="BP11" s="21">
        <v>220528</v>
      </c>
      <c r="BQ11" s="21">
        <v>2590</v>
      </c>
      <c r="BR11" s="21">
        <v>38286</v>
      </c>
      <c r="BS11" s="21">
        <v>1308</v>
      </c>
      <c r="BT11" s="21">
        <v>81549</v>
      </c>
      <c r="BU11" s="21">
        <v>4314</v>
      </c>
      <c r="BV11" s="21">
        <v>8818</v>
      </c>
      <c r="BW11" s="21">
        <v>962</v>
      </c>
      <c r="BX11" s="21">
        <v>18611</v>
      </c>
      <c r="BY11" s="21">
        <v>2830</v>
      </c>
      <c r="BZ11" s="21">
        <v>21498</v>
      </c>
      <c r="CA11" s="21">
        <v>4746</v>
      </c>
      <c r="CB11" s="21">
        <v>66051</v>
      </c>
      <c r="CC11" s="21">
        <v>14583</v>
      </c>
      <c r="CD11" s="39">
        <v>159749</v>
      </c>
      <c r="CE11" s="21">
        <v>147274.63033260001</v>
      </c>
      <c r="CF11" s="39">
        <v>396557</v>
      </c>
      <c r="CG11" s="21">
        <v>339708.98735764623</v>
      </c>
      <c r="CH11" s="21"/>
      <c r="CI11" s="21"/>
      <c r="CJ11" s="21"/>
      <c r="CK11" s="21"/>
      <c r="CL11" s="21">
        <v>572833</v>
      </c>
      <c r="CM11" s="21">
        <v>98927.62</v>
      </c>
      <c r="CN11" s="21">
        <v>1693394</v>
      </c>
      <c r="CO11" s="21">
        <v>375855</v>
      </c>
      <c r="CP11" s="21">
        <v>5680</v>
      </c>
      <c r="CQ11" s="21">
        <v>489.61418300000003</v>
      </c>
      <c r="CR11" s="21">
        <v>17470</v>
      </c>
      <c r="CS11" s="21">
        <v>1421.4654519999999</v>
      </c>
      <c r="CT11" s="21">
        <v>133507</v>
      </c>
      <c r="CU11" s="21">
        <v>33072</v>
      </c>
      <c r="CV11" s="21">
        <v>733921</v>
      </c>
      <c r="CW11" s="21">
        <v>191605</v>
      </c>
      <c r="CX11" s="21">
        <v>45396</v>
      </c>
      <c r="CY11" s="21">
        <v>21854.9</v>
      </c>
      <c r="CZ11" s="21">
        <v>140838</v>
      </c>
      <c r="DA11" s="21">
        <v>33730.300000000003</v>
      </c>
      <c r="DB11" s="21">
        <v>90040</v>
      </c>
      <c r="DC11" s="21">
        <v>13611</v>
      </c>
      <c r="DD11" s="21">
        <v>240045</v>
      </c>
      <c r="DE11" s="21">
        <v>61624</v>
      </c>
      <c r="DF11" s="21">
        <v>8238</v>
      </c>
      <c r="DG11" s="21">
        <v>53928</v>
      </c>
      <c r="DH11" s="21">
        <v>25224</v>
      </c>
      <c r="DI11" s="21">
        <v>128856</v>
      </c>
      <c r="DJ11" s="21">
        <v>39923</v>
      </c>
      <c r="DK11" s="21">
        <v>2873.78</v>
      </c>
      <c r="DL11" s="21">
        <v>137115</v>
      </c>
      <c r="DM11" s="21">
        <v>8742.48</v>
      </c>
      <c r="DN11" s="21">
        <v>138547</v>
      </c>
      <c r="DO11" s="21">
        <v>18924</v>
      </c>
      <c r="DP11" s="21">
        <v>399308</v>
      </c>
      <c r="DQ11" s="21">
        <v>48486</v>
      </c>
      <c r="DR11" s="21">
        <v>190394</v>
      </c>
      <c r="DS11" s="21">
        <v>84022</v>
      </c>
      <c r="DT11" s="21">
        <v>689861</v>
      </c>
      <c r="DU11" s="21">
        <v>139054</v>
      </c>
      <c r="DV11" s="21"/>
      <c r="DW11" s="21"/>
      <c r="DX11" s="21"/>
      <c r="DY11" s="21"/>
      <c r="DZ11" s="21">
        <v>17879</v>
      </c>
      <c r="EA11" s="21">
        <v>92987</v>
      </c>
      <c r="EB11" s="21">
        <v>54995</v>
      </c>
      <c r="EC11" s="21">
        <v>131675</v>
      </c>
      <c r="ED11" s="21">
        <f t="shared" si="1"/>
        <v>5754367</v>
      </c>
      <c r="EE11" s="21">
        <f t="shared" si="2"/>
        <v>940561.42451560008</v>
      </c>
      <c r="EF11" s="21">
        <f t="shared" si="3"/>
        <v>14707531</v>
      </c>
      <c r="EG11" s="21">
        <f t="shared" si="4"/>
        <v>2726453.402809646</v>
      </c>
    </row>
    <row r="12" spans="1:137" x14ac:dyDescent="0.25">
      <c r="A12" s="21" t="s">
        <v>187</v>
      </c>
      <c r="B12" s="21"/>
      <c r="C12" s="21"/>
      <c r="D12" s="21"/>
      <c r="E12" s="21"/>
      <c r="F12" s="21"/>
      <c r="G12" s="21"/>
      <c r="H12" s="21"/>
      <c r="I12" s="21"/>
      <c r="J12" s="21">
        <v>733874</v>
      </c>
      <c r="K12" s="21">
        <v>-663.28</v>
      </c>
      <c r="L12" s="21">
        <v>6524447</v>
      </c>
      <c r="M12" s="21">
        <v>595261.64</v>
      </c>
      <c r="N12" s="21">
        <v>10124</v>
      </c>
      <c r="O12" s="21">
        <v>1135</v>
      </c>
      <c r="P12" s="21">
        <v>26920</v>
      </c>
      <c r="Q12" s="21">
        <v>2887</v>
      </c>
      <c r="R12" s="21">
        <v>134035</v>
      </c>
      <c r="S12" s="21">
        <v>7239</v>
      </c>
      <c r="T12" s="21">
        <v>589112</v>
      </c>
      <c r="U12" s="21">
        <v>18005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v>29</v>
      </c>
      <c r="AI12" s="21"/>
      <c r="AJ12" s="21">
        <v>29</v>
      </c>
      <c r="AK12" s="21"/>
      <c r="AL12" s="21">
        <v>4238</v>
      </c>
      <c r="AM12" s="21">
        <v>352.86</v>
      </c>
      <c r="AN12" s="21">
        <v>4257</v>
      </c>
      <c r="AO12" s="21">
        <v>354.11</v>
      </c>
      <c r="AP12" s="21"/>
      <c r="AQ12" s="21"/>
      <c r="AR12" s="21"/>
      <c r="AS12" s="21"/>
      <c r="AT12" s="21">
        <v>12400</v>
      </c>
      <c r="AU12" s="21">
        <v>1509.86</v>
      </c>
      <c r="AV12" s="21">
        <v>40664</v>
      </c>
      <c r="AW12" s="21">
        <v>4507.21</v>
      </c>
      <c r="AX12" s="21"/>
      <c r="AY12" s="21"/>
      <c r="AZ12" s="21"/>
      <c r="BA12" s="21"/>
      <c r="BB12" s="21">
        <v>411572</v>
      </c>
      <c r="BC12" s="21">
        <v>11629.9</v>
      </c>
      <c r="BD12" s="21">
        <v>955671</v>
      </c>
      <c r="BE12" s="21">
        <v>25826.6</v>
      </c>
      <c r="BF12" s="21">
        <v>816491</v>
      </c>
      <c r="BG12" s="21">
        <v>27103</v>
      </c>
      <c r="BH12" s="21">
        <v>2234246</v>
      </c>
      <c r="BI12" s="21">
        <v>60030</v>
      </c>
      <c r="BJ12" s="21"/>
      <c r="BK12" s="21"/>
      <c r="BL12" s="21"/>
      <c r="BM12" s="21"/>
      <c r="BN12" s="21">
        <f>2425+27904</f>
        <v>30329</v>
      </c>
      <c r="BO12" s="21">
        <f>311+988</f>
        <v>1299</v>
      </c>
      <c r="BP12" s="21">
        <f>7105+57661+2</f>
        <v>64768</v>
      </c>
      <c r="BQ12" s="21">
        <f>749+2085+1</f>
        <v>2835</v>
      </c>
      <c r="BR12" s="21">
        <v>120553</v>
      </c>
      <c r="BS12" s="21">
        <v>5170</v>
      </c>
      <c r="BT12" s="21">
        <v>366120</v>
      </c>
      <c r="BU12" s="21">
        <v>15728</v>
      </c>
      <c r="BV12" s="21">
        <v>140813</v>
      </c>
      <c r="BW12" s="21">
        <v>7104</v>
      </c>
      <c r="BX12" s="21">
        <v>319039</v>
      </c>
      <c r="BY12" s="21">
        <v>16514</v>
      </c>
      <c r="BZ12" s="21"/>
      <c r="CA12" s="21"/>
      <c r="CB12" s="21"/>
      <c r="CC12" s="21"/>
      <c r="CD12" s="39">
        <v>99578</v>
      </c>
      <c r="CE12" s="21">
        <v>6792.2397370000008</v>
      </c>
      <c r="CF12" s="39">
        <v>37735</v>
      </c>
      <c r="CG12" s="21">
        <v>5767.6260045345944</v>
      </c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>
        <v>164303</v>
      </c>
      <c r="CU12" s="21">
        <v>8776</v>
      </c>
      <c r="CV12" s="21">
        <v>500488</v>
      </c>
      <c r="CW12" s="21">
        <v>23091</v>
      </c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>
        <v>46575</v>
      </c>
      <c r="DK12" s="21">
        <v>1232.77</v>
      </c>
      <c r="DL12" s="21">
        <v>139225</v>
      </c>
      <c r="DM12" s="21">
        <v>3296.18</v>
      </c>
      <c r="DN12" s="21"/>
      <c r="DO12" s="21"/>
      <c r="DP12" s="21"/>
      <c r="DQ12" s="21"/>
      <c r="DR12" s="21">
        <v>115203</v>
      </c>
      <c r="DS12" s="21">
        <v>8317</v>
      </c>
      <c r="DT12" s="21">
        <v>280976</v>
      </c>
      <c r="DU12" s="21">
        <v>20139</v>
      </c>
      <c r="DV12" s="21"/>
      <c r="DW12" s="21"/>
      <c r="DX12" s="21"/>
      <c r="DY12" s="21"/>
      <c r="DZ12" s="21"/>
      <c r="EA12" s="21"/>
      <c r="EB12" s="21"/>
      <c r="EC12" s="21"/>
      <c r="ED12" s="21">
        <f t="shared" si="1"/>
        <v>2840117</v>
      </c>
      <c r="EE12" s="21">
        <f t="shared" si="2"/>
        <v>86997.349736999997</v>
      </c>
      <c r="EF12" s="21">
        <f t="shared" si="3"/>
        <v>12083697</v>
      </c>
      <c r="EG12" s="21">
        <f t="shared" si="4"/>
        <v>794242.36600453453</v>
      </c>
    </row>
    <row r="13" spans="1:137" s="15" customFormat="1" x14ac:dyDescent="0.25">
      <c r="A13" s="24" t="s">
        <v>322</v>
      </c>
      <c r="B13" s="24">
        <v>61245</v>
      </c>
      <c r="C13" s="24">
        <v>6597</v>
      </c>
      <c r="D13" s="24">
        <v>85201</v>
      </c>
      <c r="E13" s="24">
        <v>8889</v>
      </c>
      <c r="F13" s="24">
        <v>71831</v>
      </c>
      <c r="G13" s="24">
        <v>13863</v>
      </c>
      <c r="H13" s="24">
        <v>180954</v>
      </c>
      <c r="I13" s="24">
        <v>31554</v>
      </c>
      <c r="J13" s="24">
        <v>737315</v>
      </c>
      <c r="K13" s="24">
        <v>-522.67999999999995</v>
      </c>
      <c r="L13" s="24">
        <v>6550510</v>
      </c>
      <c r="M13" s="24">
        <v>593635.56999999995</v>
      </c>
      <c r="N13" s="24">
        <v>278775</v>
      </c>
      <c r="O13" s="24">
        <v>49270</v>
      </c>
      <c r="P13" s="24">
        <v>760759</v>
      </c>
      <c r="Q13" s="24">
        <v>128791</v>
      </c>
      <c r="R13" s="24">
        <v>5280290</v>
      </c>
      <c r="S13" s="24">
        <v>253949</v>
      </c>
      <c r="T13" s="24">
        <v>13112702</v>
      </c>
      <c r="U13" s="24">
        <v>766539</v>
      </c>
      <c r="V13" s="24">
        <v>1050300</v>
      </c>
      <c r="W13" s="24">
        <v>57227</v>
      </c>
      <c r="X13" s="24">
        <v>1991042</v>
      </c>
      <c r="Y13" s="24">
        <v>164065</v>
      </c>
      <c r="Z13" s="24">
        <v>694247</v>
      </c>
      <c r="AA13" s="24">
        <v>111844</v>
      </c>
      <c r="AB13" s="24">
        <v>694247</v>
      </c>
      <c r="AC13" s="24">
        <v>111838</v>
      </c>
      <c r="AD13" s="24">
        <v>55312</v>
      </c>
      <c r="AE13" s="24">
        <v>11014</v>
      </c>
      <c r="AF13" s="24">
        <v>171819</v>
      </c>
      <c r="AG13" s="24">
        <v>35576</v>
      </c>
      <c r="AH13" s="24">
        <v>20004</v>
      </c>
      <c r="AI13" s="24">
        <v>838</v>
      </c>
      <c r="AJ13" s="24">
        <v>225090</v>
      </c>
      <c r="AK13" s="24">
        <v>20944</v>
      </c>
      <c r="AL13" s="24">
        <v>10485</v>
      </c>
      <c r="AM13" s="24">
        <v>2628.84</v>
      </c>
      <c r="AN13" s="24">
        <v>16597</v>
      </c>
      <c r="AO13" s="24">
        <v>5653.52</v>
      </c>
      <c r="AP13" s="24">
        <v>1232</v>
      </c>
      <c r="AQ13" s="24">
        <v>10106.23</v>
      </c>
      <c r="AR13" s="24">
        <v>3894</v>
      </c>
      <c r="AS13" s="24">
        <v>29748.93</v>
      </c>
      <c r="AT13" s="24">
        <v>422820</v>
      </c>
      <c r="AU13" s="24">
        <v>59094.85</v>
      </c>
      <c r="AV13" s="24">
        <v>1320535</v>
      </c>
      <c r="AW13" s="24">
        <v>174504.92</v>
      </c>
      <c r="AX13" s="24">
        <v>630701</v>
      </c>
      <c r="AY13" s="24">
        <v>25575</v>
      </c>
      <c r="AZ13" s="24">
        <v>1329024</v>
      </c>
      <c r="BA13" s="24">
        <v>52934</v>
      </c>
      <c r="BB13" s="24">
        <v>2338539</v>
      </c>
      <c r="BC13" s="24">
        <v>233615.7</v>
      </c>
      <c r="BD13" s="24">
        <v>6005065</v>
      </c>
      <c r="BE13" s="24">
        <v>654006.80000000005</v>
      </c>
      <c r="BF13" s="24">
        <v>7926520</v>
      </c>
      <c r="BG13" s="24">
        <v>369876</v>
      </c>
      <c r="BH13" s="24">
        <v>20285673</v>
      </c>
      <c r="BI13" s="24">
        <v>1100330</v>
      </c>
      <c r="BJ13" s="24">
        <v>1695866</v>
      </c>
      <c r="BK13" s="24">
        <v>168019.53</v>
      </c>
      <c r="BL13" s="24">
        <v>5111609</v>
      </c>
      <c r="BM13" s="24">
        <v>515823.35999999999</v>
      </c>
      <c r="BN13" s="24">
        <v>183427</v>
      </c>
      <c r="BO13" s="24">
        <v>8525</v>
      </c>
      <c r="BP13" s="24">
        <v>424851</v>
      </c>
      <c r="BQ13" s="24">
        <v>20757</v>
      </c>
      <c r="BR13" s="24">
        <v>449034</v>
      </c>
      <c r="BS13" s="24">
        <v>28676</v>
      </c>
      <c r="BT13" s="24">
        <v>1210006</v>
      </c>
      <c r="BU13" s="24">
        <v>80825</v>
      </c>
      <c r="BV13" s="24">
        <v>329344</v>
      </c>
      <c r="BW13" s="24">
        <v>25338</v>
      </c>
      <c r="BX13" s="24">
        <v>814391</v>
      </c>
      <c r="BY13" s="24">
        <v>62422</v>
      </c>
      <c r="BZ13" s="24">
        <v>92453</v>
      </c>
      <c r="CA13" s="24">
        <v>22255</v>
      </c>
      <c r="CB13" s="24">
        <v>256220</v>
      </c>
      <c r="CC13" s="24">
        <v>62672</v>
      </c>
      <c r="CD13" s="24">
        <v>4482796</v>
      </c>
      <c r="CE13" s="24">
        <v>384735.86080300005</v>
      </c>
      <c r="CF13" s="24">
        <v>13237561</v>
      </c>
      <c r="CG13" s="24">
        <v>1176660.928809026</v>
      </c>
      <c r="CH13" s="24"/>
      <c r="CI13" s="24"/>
      <c r="CJ13" s="24"/>
      <c r="CK13" s="24"/>
      <c r="CL13" s="24">
        <v>2824276</v>
      </c>
      <c r="CM13" s="24">
        <v>305850.71999999997</v>
      </c>
      <c r="CN13" s="24">
        <v>8334230</v>
      </c>
      <c r="CO13" s="24">
        <v>957839</v>
      </c>
      <c r="CP13" s="24">
        <v>16575</v>
      </c>
      <c r="CQ13" s="24">
        <v>2432.5100000000002</v>
      </c>
      <c r="CR13" s="24">
        <v>53251</v>
      </c>
      <c r="CS13" s="24">
        <v>7445</v>
      </c>
      <c r="CT13" s="24">
        <v>1479970</v>
      </c>
      <c r="CU13" s="24">
        <v>130539</v>
      </c>
      <c r="CV13" s="24">
        <v>4452147</v>
      </c>
      <c r="CW13" s="24">
        <v>487436</v>
      </c>
      <c r="CX13" s="24">
        <v>203051</v>
      </c>
      <c r="CY13" s="24">
        <v>55915.199999999997</v>
      </c>
      <c r="CZ13" s="24">
        <v>582558</v>
      </c>
      <c r="DA13" s="24">
        <v>132822</v>
      </c>
      <c r="DB13" s="24">
        <v>454405</v>
      </c>
      <c r="DC13" s="24">
        <v>70411</v>
      </c>
      <c r="DD13" s="24">
        <v>1374886</v>
      </c>
      <c r="DE13" s="24">
        <v>243642</v>
      </c>
      <c r="DF13" s="24">
        <v>1044507</v>
      </c>
      <c r="DG13" s="24">
        <v>126477.13</v>
      </c>
      <c r="DH13" s="24">
        <v>2389387</v>
      </c>
      <c r="DI13" s="24">
        <v>332730.82</v>
      </c>
      <c r="DJ13" s="24">
        <v>676715</v>
      </c>
      <c r="DK13" s="24">
        <v>57654.54</v>
      </c>
      <c r="DL13" s="24">
        <v>1889665</v>
      </c>
      <c r="DM13" s="24">
        <v>166347.13</v>
      </c>
      <c r="DN13" s="24">
        <v>1042900</v>
      </c>
      <c r="DO13" s="24">
        <v>123856</v>
      </c>
      <c r="DP13" s="24">
        <v>2783648</v>
      </c>
      <c r="DQ13" s="24">
        <v>326425</v>
      </c>
      <c r="DR13" s="24">
        <v>2842429</v>
      </c>
      <c r="DS13" s="24">
        <v>240383</v>
      </c>
      <c r="DT13" s="24">
        <v>7541420</v>
      </c>
      <c r="DU13" s="24">
        <v>567354</v>
      </c>
      <c r="DV13" s="24"/>
      <c r="DW13" s="24"/>
      <c r="DX13" s="24"/>
      <c r="DY13" s="24"/>
      <c r="DZ13" s="24">
        <v>333420</v>
      </c>
      <c r="EA13" s="24">
        <v>120675</v>
      </c>
      <c r="EB13" s="24">
        <v>910916</v>
      </c>
      <c r="EC13" s="24">
        <v>201430</v>
      </c>
      <c r="ED13" s="24">
        <f t="shared" si="1"/>
        <v>37730784</v>
      </c>
      <c r="EE13" s="24">
        <f t="shared" si="2"/>
        <v>3076719.430803</v>
      </c>
      <c r="EF13" s="24">
        <f t="shared" si="3"/>
        <v>104099858</v>
      </c>
      <c r="EG13" s="24">
        <f t="shared" si="4"/>
        <v>9221640.9788090251</v>
      </c>
    </row>
    <row r="14" spans="1:137" x14ac:dyDescent="0.25">
      <c r="A14" s="21" t="s">
        <v>318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>
        <v>268</v>
      </c>
      <c r="AU14" s="21">
        <v>16.62</v>
      </c>
      <c r="AV14" s="21">
        <v>805</v>
      </c>
      <c r="AW14" s="21">
        <v>39.15</v>
      </c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>
        <v>-0.17</v>
      </c>
      <c r="BL14" s="21"/>
      <c r="BM14" s="21">
        <v>-0.35</v>
      </c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>
        <v>621</v>
      </c>
      <c r="DG14" s="21">
        <v>72</v>
      </c>
      <c r="DH14" s="21">
        <v>2225</v>
      </c>
      <c r="DI14" s="21">
        <v>257</v>
      </c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>
        <f t="shared" si="1"/>
        <v>889</v>
      </c>
      <c r="EE14" s="21">
        <f t="shared" si="2"/>
        <v>88.45</v>
      </c>
      <c r="EF14" s="21">
        <f t="shared" si="3"/>
        <v>3030</v>
      </c>
      <c r="EG14" s="21">
        <f t="shared" si="4"/>
        <v>295.8</v>
      </c>
    </row>
    <row r="15" spans="1:137" s="15" customFormat="1" x14ac:dyDescent="0.25">
      <c r="A15" s="24" t="s">
        <v>319</v>
      </c>
      <c r="B15" s="24">
        <v>61245</v>
      </c>
      <c r="C15" s="24">
        <v>6597</v>
      </c>
      <c r="D15" s="24">
        <v>85201</v>
      </c>
      <c r="E15" s="24">
        <v>8889</v>
      </c>
      <c r="F15" s="24">
        <v>71831</v>
      </c>
      <c r="G15" s="24">
        <v>13863</v>
      </c>
      <c r="H15" s="24">
        <v>180954</v>
      </c>
      <c r="I15" s="24">
        <v>31554</v>
      </c>
      <c r="J15" s="24">
        <v>737315</v>
      </c>
      <c r="K15" s="24">
        <v>-522.67999999999995</v>
      </c>
      <c r="L15" s="24">
        <v>6550510</v>
      </c>
      <c r="M15" s="24">
        <v>593635.56999999995</v>
      </c>
      <c r="N15" s="24">
        <v>278775</v>
      </c>
      <c r="O15" s="24">
        <v>49270</v>
      </c>
      <c r="P15" s="24">
        <v>760759</v>
      </c>
      <c r="Q15" s="24">
        <v>128791</v>
      </c>
      <c r="R15" s="24">
        <v>5280290</v>
      </c>
      <c r="S15" s="24">
        <v>253949</v>
      </c>
      <c r="T15" s="24">
        <v>13112702</v>
      </c>
      <c r="U15" s="24">
        <v>766539</v>
      </c>
      <c r="V15" s="24">
        <v>1050300</v>
      </c>
      <c r="W15" s="24">
        <v>57227</v>
      </c>
      <c r="X15" s="24">
        <v>1991042</v>
      </c>
      <c r="Y15" s="24">
        <v>164065</v>
      </c>
      <c r="Z15" s="24">
        <v>694247</v>
      </c>
      <c r="AA15" s="24">
        <v>111844</v>
      </c>
      <c r="AB15" s="24">
        <v>694247</v>
      </c>
      <c r="AC15" s="24">
        <v>111838</v>
      </c>
      <c r="AD15" s="24">
        <v>55312</v>
      </c>
      <c r="AE15" s="24">
        <v>11014</v>
      </c>
      <c r="AF15" s="24">
        <v>171819</v>
      </c>
      <c r="AG15" s="24">
        <v>35576</v>
      </c>
      <c r="AH15" s="24">
        <v>20004</v>
      </c>
      <c r="AI15" s="24">
        <v>838</v>
      </c>
      <c r="AJ15" s="24">
        <v>225090</v>
      </c>
      <c r="AK15" s="24">
        <v>20944</v>
      </c>
      <c r="AL15" s="24">
        <v>10485</v>
      </c>
      <c r="AM15" s="24">
        <v>2628.84</v>
      </c>
      <c r="AN15" s="24">
        <v>16597</v>
      </c>
      <c r="AO15" s="24">
        <v>5653.52</v>
      </c>
      <c r="AP15" s="24">
        <v>1232</v>
      </c>
      <c r="AQ15" s="24">
        <v>10106.23</v>
      </c>
      <c r="AR15" s="24">
        <v>3894</v>
      </c>
      <c r="AS15" s="24">
        <v>29748.93</v>
      </c>
      <c r="AT15" s="24">
        <v>423088</v>
      </c>
      <c r="AU15" s="24">
        <v>59111.47</v>
      </c>
      <c r="AV15" s="24">
        <v>1321340</v>
      </c>
      <c r="AW15" s="24">
        <v>174544.07</v>
      </c>
      <c r="AX15" s="24">
        <v>630701</v>
      </c>
      <c r="AY15" s="24">
        <v>25575</v>
      </c>
      <c r="AZ15" s="24">
        <v>1329024</v>
      </c>
      <c r="BA15" s="24">
        <v>52934</v>
      </c>
      <c r="BB15" s="24">
        <v>2338539</v>
      </c>
      <c r="BC15" s="24">
        <v>233615.7</v>
      </c>
      <c r="BD15" s="24">
        <v>6005065</v>
      </c>
      <c r="BE15" s="24">
        <v>654006.80000000005</v>
      </c>
      <c r="BF15" s="24">
        <v>7926520</v>
      </c>
      <c r="BG15" s="24">
        <v>369876</v>
      </c>
      <c r="BH15" s="24">
        <v>20285673</v>
      </c>
      <c r="BI15" s="24">
        <v>1100330</v>
      </c>
      <c r="BJ15" s="24">
        <v>1695866</v>
      </c>
      <c r="BK15" s="24">
        <v>168019.36</v>
      </c>
      <c r="BL15" s="24">
        <v>5111609</v>
      </c>
      <c r="BM15" s="24">
        <v>515823.02</v>
      </c>
      <c r="BN15" s="24">
        <v>183427</v>
      </c>
      <c r="BO15" s="24">
        <v>8525</v>
      </c>
      <c r="BP15" s="24">
        <v>424851</v>
      </c>
      <c r="BQ15" s="24">
        <v>20757</v>
      </c>
      <c r="BR15" s="24">
        <v>449034</v>
      </c>
      <c r="BS15" s="24">
        <v>28676</v>
      </c>
      <c r="BT15" s="24">
        <v>1210006</v>
      </c>
      <c r="BU15" s="24">
        <v>80825</v>
      </c>
      <c r="BV15" s="24">
        <v>329344</v>
      </c>
      <c r="BW15" s="24">
        <v>25338</v>
      </c>
      <c r="BX15" s="24">
        <v>814391</v>
      </c>
      <c r="BY15" s="24">
        <v>62422</v>
      </c>
      <c r="BZ15" s="24">
        <v>92453</v>
      </c>
      <c r="CA15" s="24">
        <v>22255</v>
      </c>
      <c r="CB15" s="24">
        <v>256220</v>
      </c>
      <c r="CC15" s="24">
        <v>62672</v>
      </c>
      <c r="CD15" s="24">
        <v>4482796</v>
      </c>
      <c r="CE15" s="24">
        <v>384735.86080300005</v>
      </c>
      <c r="CF15" s="24">
        <v>13237561</v>
      </c>
      <c r="CG15" s="24">
        <v>1176660.928809026</v>
      </c>
      <c r="CH15" s="24"/>
      <c r="CI15" s="24"/>
      <c r="CJ15" s="24"/>
      <c r="CK15" s="24"/>
      <c r="CL15" s="24">
        <v>2824276</v>
      </c>
      <c r="CM15" s="24">
        <v>305850.71999999997</v>
      </c>
      <c r="CN15" s="24">
        <v>8334230</v>
      </c>
      <c r="CO15" s="24">
        <v>957839</v>
      </c>
      <c r="CP15" s="24">
        <v>16575</v>
      </c>
      <c r="CQ15" s="24">
        <v>2432.5100000000002</v>
      </c>
      <c r="CR15" s="24">
        <v>53251</v>
      </c>
      <c r="CS15" s="24">
        <v>7444.75</v>
      </c>
      <c r="CT15" s="24">
        <v>1479970</v>
      </c>
      <c r="CU15" s="24">
        <v>130539</v>
      </c>
      <c r="CV15" s="24">
        <v>4452147</v>
      </c>
      <c r="CW15" s="24">
        <v>487436</v>
      </c>
      <c r="CX15" s="24">
        <v>203051</v>
      </c>
      <c r="CY15" s="24">
        <v>55915.199999999997</v>
      </c>
      <c r="CZ15" s="24">
        <v>582558</v>
      </c>
      <c r="DA15" s="24">
        <v>132822</v>
      </c>
      <c r="DB15" s="24">
        <v>454405</v>
      </c>
      <c r="DC15" s="24">
        <v>70411</v>
      </c>
      <c r="DD15" s="24">
        <v>1374886</v>
      </c>
      <c r="DE15" s="24">
        <v>243642</v>
      </c>
      <c r="DF15" s="24">
        <v>1045128</v>
      </c>
      <c r="DG15" s="24">
        <v>126549.47</v>
      </c>
      <c r="DH15" s="24">
        <v>2391612</v>
      </c>
      <c r="DI15" s="24">
        <v>332987.56</v>
      </c>
      <c r="DJ15" s="24">
        <v>676715</v>
      </c>
      <c r="DK15" s="24">
        <v>57654.54</v>
      </c>
      <c r="DL15" s="24">
        <v>1889665</v>
      </c>
      <c r="DM15" s="24">
        <v>166347.13</v>
      </c>
      <c r="DN15" s="24">
        <v>1042900</v>
      </c>
      <c r="DO15" s="24">
        <v>123856</v>
      </c>
      <c r="DP15" s="24">
        <v>2783648</v>
      </c>
      <c r="DQ15" s="24">
        <v>326425</v>
      </c>
      <c r="DR15" s="24">
        <v>2842429</v>
      </c>
      <c r="DS15" s="24">
        <v>240383</v>
      </c>
      <c r="DT15" s="24">
        <v>7541420</v>
      </c>
      <c r="DU15" s="24">
        <v>567354</v>
      </c>
      <c r="DV15" s="24"/>
      <c r="DW15" s="24"/>
      <c r="DX15" s="24"/>
      <c r="DY15" s="24"/>
      <c r="DZ15" s="24">
        <v>333420</v>
      </c>
      <c r="EA15" s="24">
        <v>120675</v>
      </c>
      <c r="EB15" s="24">
        <v>910916</v>
      </c>
      <c r="EC15" s="24">
        <v>201430</v>
      </c>
      <c r="ED15" s="24">
        <f t="shared" si="1"/>
        <v>37731673</v>
      </c>
      <c r="EE15" s="24">
        <f t="shared" si="2"/>
        <v>3076808.2208030005</v>
      </c>
      <c r="EF15" s="24">
        <f t="shared" si="3"/>
        <v>104102888</v>
      </c>
      <c r="EG15" s="24">
        <f t="shared" si="4"/>
        <v>9221936.2788090259</v>
      </c>
    </row>
  </sheetData>
  <mergeCells count="102">
    <mergeCell ref="F3:I3"/>
    <mergeCell ref="F4:G4"/>
    <mergeCell ref="H4:I4"/>
    <mergeCell ref="B4:C4"/>
    <mergeCell ref="D4:E4"/>
    <mergeCell ref="B3:E3"/>
    <mergeCell ref="N3:Q3"/>
    <mergeCell ref="N4:O4"/>
    <mergeCell ref="P4:Q4"/>
    <mergeCell ref="R4:S4"/>
    <mergeCell ref="T4:U4"/>
    <mergeCell ref="V3:Y3"/>
    <mergeCell ref="V4:W4"/>
    <mergeCell ref="X4:Y4"/>
    <mergeCell ref="Z3:AC3"/>
    <mergeCell ref="Z4:AA4"/>
    <mergeCell ref="AB4:AC4"/>
    <mergeCell ref="J3:M3"/>
    <mergeCell ref="J4:K4"/>
    <mergeCell ref="L4:M4"/>
    <mergeCell ref="R3:U3"/>
    <mergeCell ref="AN4:AO4"/>
    <mergeCell ref="AT3:AW3"/>
    <mergeCell ref="AT4:AU4"/>
    <mergeCell ref="AV4:AW4"/>
    <mergeCell ref="AX3:BA3"/>
    <mergeCell ref="AX4:AY4"/>
    <mergeCell ref="AZ4:BA4"/>
    <mergeCell ref="AD4:AE4"/>
    <mergeCell ref="AF4:AG4"/>
    <mergeCell ref="AH3:AK3"/>
    <mergeCell ref="AH4:AI4"/>
    <mergeCell ref="AJ4:AK4"/>
    <mergeCell ref="AP3:AS3"/>
    <mergeCell ref="AP4:AQ4"/>
    <mergeCell ref="AR4:AS4"/>
    <mergeCell ref="AL3:AO3"/>
    <mergeCell ref="AL4:AM4"/>
    <mergeCell ref="AD3:AG3"/>
    <mergeCell ref="BN4:BO4"/>
    <mergeCell ref="BP4:BQ4"/>
    <mergeCell ref="BR3:BU3"/>
    <mergeCell ref="BR4:BS4"/>
    <mergeCell ref="BT4:BU4"/>
    <mergeCell ref="BV3:BY3"/>
    <mergeCell ref="BV4:BW4"/>
    <mergeCell ref="BX4:BY4"/>
    <mergeCell ref="BB4:BC4"/>
    <mergeCell ref="BD4:BE4"/>
    <mergeCell ref="BF4:BG4"/>
    <mergeCell ref="BH4:BI4"/>
    <mergeCell ref="BF3:BI3"/>
    <mergeCell ref="BJ3:BM3"/>
    <mergeCell ref="BJ4:BK4"/>
    <mergeCell ref="BL4:BM4"/>
    <mergeCell ref="BB3:BE3"/>
    <mergeCell ref="BN3:BQ3"/>
    <mergeCell ref="CL4:CM4"/>
    <mergeCell ref="CN4:CO4"/>
    <mergeCell ref="CP3:CS3"/>
    <mergeCell ref="CP4:CQ4"/>
    <mergeCell ref="CR4:CS4"/>
    <mergeCell ref="CT3:CW3"/>
    <mergeCell ref="CT4:CU4"/>
    <mergeCell ref="CV4:CW4"/>
    <mergeCell ref="BZ4:CA4"/>
    <mergeCell ref="CB4:CC4"/>
    <mergeCell ref="CD3:CG3"/>
    <mergeCell ref="CD4:CE4"/>
    <mergeCell ref="CF4:CG4"/>
    <mergeCell ref="CH3:CK3"/>
    <mergeCell ref="CH4:CI4"/>
    <mergeCell ref="CJ4:CK4"/>
    <mergeCell ref="BZ3:CC3"/>
    <mergeCell ref="CL3:CO3"/>
    <mergeCell ref="DJ4:DK4"/>
    <mergeCell ref="DL4:DM4"/>
    <mergeCell ref="DN3:DQ3"/>
    <mergeCell ref="DN4:DO4"/>
    <mergeCell ref="DP4:DQ4"/>
    <mergeCell ref="DR3:DU3"/>
    <mergeCell ref="DR4:DS4"/>
    <mergeCell ref="DT4:DU4"/>
    <mergeCell ref="CX4:CY4"/>
    <mergeCell ref="CZ4:DA4"/>
    <mergeCell ref="DB3:DE3"/>
    <mergeCell ref="DB4:DC4"/>
    <mergeCell ref="DD4:DE4"/>
    <mergeCell ref="DF3:DI3"/>
    <mergeCell ref="DF4:DG4"/>
    <mergeCell ref="DH4:DI4"/>
    <mergeCell ref="CX3:DA3"/>
    <mergeCell ref="DJ3:DM3"/>
    <mergeCell ref="ED3:EG3"/>
    <mergeCell ref="ED4:EE4"/>
    <mergeCell ref="EF4:EG4"/>
    <mergeCell ref="DV3:DY3"/>
    <mergeCell ref="DV4:DW4"/>
    <mergeCell ref="DX4:DY4"/>
    <mergeCell ref="DZ3:EC3"/>
    <mergeCell ref="DZ4:EA4"/>
    <mergeCell ref="EB4:E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1.85546875" style="6" customWidth="1"/>
    <col min="2" max="69" width="14.140625" style="4" customWidth="1"/>
    <col min="70" max="16384" width="9.140625" style="4"/>
  </cols>
  <sheetData>
    <row r="1" spans="1:69" s="17" customFormat="1" ht="18.75" x14ac:dyDescent="0.3">
      <c r="A1" s="28" t="s">
        <v>163</v>
      </c>
    </row>
    <row r="2" spans="1:69" x14ac:dyDescent="0.25">
      <c r="A2" s="6" t="s">
        <v>43</v>
      </c>
    </row>
    <row r="3" spans="1:69" s="15" customFormat="1" x14ac:dyDescent="0.25">
      <c r="A3" s="23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4</v>
      </c>
      <c r="I3" s="112"/>
      <c r="J3" s="111" t="s">
        <v>5</v>
      </c>
      <c r="K3" s="112"/>
      <c r="L3" s="111" t="s">
        <v>6</v>
      </c>
      <c r="M3" s="112"/>
      <c r="N3" s="111" t="s">
        <v>7</v>
      </c>
      <c r="O3" s="112"/>
      <c r="P3" s="111" t="s">
        <v>8</v>
      </c>
      <c r="Q3" s="112"/>
      <c r="R3" s="111" t="s">
        <v>9</v>
      </c>
      <c r="S3" s="112"/>
      <c r="T3" s="111" t="s">
        <v>10</v>
      </c>
      <c r="U3" s="112"/>
      <c r="V3" s="111" t="s">
        <v>11</v>
      </c>
      <c r="W3" s="112"/>
      <c r="X3" s="111" t="s">
        <v>12</v>
      </c>
      <c r="Y3" s="112"/>
      <c r="Z3" s="111" t="s">
        <v>13</v>
      </c>
      <c r="AA3" s="112"/>
      <c r="AB3" s="111" t="s">
        <v>14</v>
      </c>
      <c r="AC3" s="112"/>
      <c r="AD3" s="111" t="s">
        <v>15</v>
      </c>
      <c r="AE3" s="112"/>
      <c r="AF3" s="111" t="s">
        <v>16</v>
      </c>
      <c r="AG3" s="112"/>
      <c r="AH3" s="111" t="s">
        <v>17</v>
      </c>
      <c r="AI3" s="112"/>
      <c r="AJ3" s="111" t="s">
        <v>18</v>
      </c>
      <c r="AK3" s="112"/>
      <c r="AL3" s="111" t="s">
        <v>19</v>
      </c>
      <c r="AM3" s="112"/>
      <c r="AN3" s="111" t="s">
        <v>20</v>
      </c>
      <c r="AO3" s="112"/>
      <c r="AP3" s="111" t="s">
        <v>21</v>
      </c>
      <c r="AQ3" s="112"/>
      <c r="AR3" s="111" t="s">
        <v>161</v>
      </c>
      <c r="AS3" s="112"/>
      <c r="AT3" s="111" t="s">
        <v>162</v>
      </c>
      <c r="AU3" s="112"/>
      <c r="AV3" s="111" t="s">
        <v>22</v>
      </c>
      <c r="AW3" s="112"/>
      <c r="AX3" s="111" t="s">
        <v>23</v>
      </c>
      <c r="AY3" s="112"/>
      <c r="AZ3" s="111" t="s">
        <v>24</v>
      </c>
      <c r="BA3" s="112"/>
      <c r="BB3" s="111" t="s">
        <v>25</v>
      </c>
      <c r="BC3" s="112"/>
      <c r="BD3" s="111" t="s">
        <v>26</v>
      </c>
      <c r="BE3" s="112"/>
      <c r="BF3" s="111" t="s">
        <v>27</v>
      </c>
      <c r="BG3" s="112"/>
      <c r="BH3" s="111" t="s">
        <v>28</v>
      </c>
      <c r="BI3" s="112"/>
      <c r="BJ3" s="111" t="s">
        <v>29</v>
      </c>
      <c r="BK3" s="112"/>
      <c r="BL3" s="111" t="s">
        <v>30</v>
      </c>
      <c r="BM3" s="112"/>
      <c r="BN3" s="111" t="s">
        <v>31</v>
      </c>
      <c r="BO3" s="112"/>
      <c r="BP3" s="110" t="s">
        <v>304</v>
      </c>
      <c r="BQ3" s="110"/>
    </row>
    <row r="4" spans="1:69" s="43" customFormat="1" ht="30" x14ac:dyDescent="0.25">
      <c r="A4" s="44"/>
      <c r="B4" s="44" t="s">
        <v>286</v>
      </c>
      <c r="C4" s="44" t="s">
        <v>287</v>
      </c>
      <c r="D4" s="44" t="s">
        <v>286</v>
      </c>
      <c r="E4" s="44" t="s">
        <v>287</v>
      </c>
      <c r="F4" s="44" t="s">
        <v>286</v>
      </c>
      <c r="G4" s="44" t="s">
        <v>287</v>
      </c>
      <c r="H4" s="44" t="s">
        <v>286</v>
      </c>
      <c r="I4" s="44" t="s">
        <v>287</v>
      </c>
      <c r="J4" s="44" t="s">
        <v>286</v>
      </c>
      <c r="K4" s="44" t="s">
        <v>287</v>
      </c>
      <c r="L4" s="44" t="s">
        <v>286</v>
      </c>
      <c r="M4" s="44" t="s">
        <v>287</v>
      </c>
      <c r="N4" s="44" t="s">
        <v>286</v>
      </c>
      <c r="O4" s="44" t="s">
        <v>287</v>
      </c>
      <c r="P4" s="44" t="s">
        <v>286</v>
      </c>
      <c r="Q4" s="44" t="s">
        <v>287</v>
      </c>
      <c r="R4" s="44" t="s">
        <v>286</v>
      </c>
      <c r="S4" s="44" t="s">
        <v>287</v>
      </c>
      <c r="T4" s="44" t="s">
        <v>286</v>
      </c>
      <c r="U4" s="44" t="s">
        <v>287</v>
      </c>
      <c r="V4" s="44" t="s">
        <v>286</v>
      </c>
      <c r="W4" s="44" t="s">
        <v>287</v>
      </c>
      <c r="X4" s="44" t="s">
        <v>286</v>
      </c>
      <c r="Y4" s="44" t="s">
        <v>287</v>
      </c>
      <c r="Z4" s="44" t="s">
        <v>286</v>
      </c>
      <c r="AA4" s="44" t="s">
        <v>287</v>
      </c>
      <c r="AB4" s="44" t="s">
        <v>286</v>
      </c>
      <c r="AC4" s="44" t="s">
        <v>287</v>
      </c>
      <c r="AD4" s="44" t="s">
        <v>286</v>
      </c>
      <c r="AE4" s="44" t="s">
        <v>287</v>
      </c>
      <c r="AF4" s="44" t="s">
        <v>286</v>
      </c>
      <c r="AG4" s="44" t="s">
        <v>287</v>
      </c>
      <c r="AH4" s="44" t="s">
        <v>286</v>
      </c>
      <c r="AI4" s="44" t="s">
        <v>287</v>
      </c>
      <c r="AJ4" s="44" t="s">
        <v>286</v>
      </c>
      <c r="AK4" s="44" t="s">
        <v>287</v>
      </c>
      <c r="AL4" s="44" t="s">
        <v>286</v>
      </c>
      <c r="AM4" s="44" t="s">
        <v>287</v>
      </c>
      <c r="AN4" s="44" t="s">
        <v>286</v>
      </c>
      <c r="AO4" s="44" t="s">
        <v>287</v>
      </c>
      <c r="AP4" s="44" t="s">
        <v>286</v>
      </c>
      <c r="AQ4" s="44" t="s">
        <v>287</v>
      </c>
      <c r="AR4" s="44" t="s">
        <v>286</v>
      </c>
      <c r="AS4" s="44" t="s">
        <v>287</v>
      </c>
      <c r="AT4" s="44" t="s">
        <v>286</v>
      </c>
      <c r="AU4" s="44" t="s">
        <v>287</v>
      </c>
      <c r="AV4" s="44" t="s">
        <v>286</v>
      </c>
      <c r="AW4" s="44" t="s">
        <v>287</v>
      </c>
      <c r="AX4" s="44" t="s">
        <v>286</v>
      </c>
      <c r="AY4" s="44" t="s">
        <v>287</v>
      </c>
      <c r="AZ4" s="44" t="s">
        <v>286</v>
      </c>
      <c r="BA4" s="44" t="s">
        <v>287</v>
      </c>
      <c r="BB4" s="44" t="s">
        <v>286</v>
      </c>
      <c r="BC4" s="44" t="s">
        <v>287</v>
      </c>
      <c r="BD4" s="44" t="s">
        <v>286</v>
      </c>
      <c r="BE4" s="44" t="s">
        <v>287</v>
      </c>
      <c r="BF4" s="44" t="s">
        <v>286</v>
      </c>
      <c r="BG4" s="44" t="s">
        <v>287</v>
      </c>
      <c r="BH4" s="44" t="s">
        <v>286</v>
      </c>
      <c r="BI4" s="44" t="s">
        <v>287</v>
      </c>
      <c r="BJ4" s="44" t="s">
        <v>286</v>
      </c>
      <c r="BK4" s="44" t="s">
        <v>287</v>
      </c>
      <c r="BL4" s="44" t="s">
        <v>286</v>
      </c>
      <c r="BM4" s="44" t="s">
        <v>287</v>
      </c>
      <c r="BN4" s="44" t="s">
        <v>286</v>
      </c>
      <c r="BO4" s="44" t="s">
        <v>287</v>
      </c>
      <c r="BP4" s="44" t="s">
        <v>286</v>
      </c>
      <c r="BQ4" s="44" t="s">
        <v>287</v>
      </c>
    </row>
    <row r="5" spans="1:69" s="15" customFormat="1" x14ac:dyDescent="0.25">
      <c r="A5" s="23" t="s">
        <v>44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</row>
    <row r="6" spans="1:69" x14ac:dyDescent="0.25">
      <c r="A6" s="25" t="s">
        <v>45</v>
      </c>
      <c r="B6" s="21"/>
      <c r="C6" s="21"/>
      <c r="D6" s="21"/>
      <c r="E6" s="21"/>
      <c r="F6" s="21"/>
      <c r="G6" s="21"/>
      <c r="H6" s="21"/>
      <c r="I6" s="21"/>
      <c r="J6" s="21">
        <v>267564</v>
      </c>
      <c r="K6" s="21">
        <v>357498</v>
      </c>
      <c r="L6" s="21">
        <v>13435</v>
      </c>
      <c r="M6" s="21">
        <v>17659</v>
      </c>
      <c r="N6" s="39">
        <v>805534</v>
      </c>
      <c r="O6" s="39">
        <v>887391</v>
      </c>
      <c r="P6" s="21"/>
      <c r="Q6" s="21"/>
      <c r="R6" s="21">
        <v>-54604</v>
      </c>
      <c r="S6" s="21">
        <v>-181531</v>
      </c>
      <c r="T6" s="21">
        <v>231</v>
      </c>
      <c r="U6" s="21">
        <v>-18011</v>
      </c>
      <c r="V6" s="21"/>
      <c r="W6" s="21"/>
      <c r="X6" s="21">
        <v>-54702</v>
      </c>
      <c r="Y6" s="21">
        <v>-112071</v>
      </c>
      <c r="Z6" s="21">
        <v>-32606</v>
      </c>
      <c r="AA6" s="21">
        <v>-63374</v>
      </c>
      <c r="AB6" s="21">
        <v>62635</v>
      </c>
      <c r="AC6" s="21">
        <v>183117</v>
      </c>
      <c r="AD6" s="21">
        <v>248677</v>
      </c>
      <c r="AE6" s="21">
        <v>528187</v>
      </c>
      <c r="AF6" s="21">
        <v>136863</v>
      </c>
      <c r="AG6" s="21">
        <v>310924</v>
      </c>
      <c r="AH6" s="21">
        <v>-330</v>
      </c>
      <c r="AI6" s="21">
        <v>-8186</v>
      </c>
      <c r="AJ6" s="21">
        <v>-36063</v>
      </c>
      <c r="AK6" s="21">
        <v>-95704</v>
      </c>
      <c r="AL6" s="21">
        <v>-72526</v>
      </c>
      <c r="AM6" s="21">
        <v>-162418</v>
      </c>
      <c r="AN6" s="21"/>
      <c r="AO6" s="21"/>
      <c r="AP6" s="21">
        <v>-806480.20005530166</v>
      </c>
      <c r="AQ6" s="21">
        <v>1287138.0278734993</v>
      </c>
      <c r="AR6" s="21">
        <v>-2223830</v>
      </c>
      <c r="AS6" s="21">
        <v>-4557563</v>
      </c>
      <c r="AT6" s="21">
        <v>-366867</v>
      </c>
      <c r="AU6" s="21">
        <v>-1239294</v>
      </c>
      <c r="AV6" s="21">
        <v>1570</v>
      </c>
      <c r="AW6" s="21">
        <v>4942</v>
      </c>
      <c r="AX6" s="21">
        <v>56559</v>
      </c>
      <c r="AY6" s="21">
        <v>110220</v>
      </c>
      <c r="AZ6" s="21"/>
      <c r="BA6" s="21"/>
      <c r="BB6" s="21">
        <v>24116</v>
      </c>
      <c r="BC6" s="21">
        <v>-639</v>
      </c>
      <c r="BD6" s="21">
        <v>664033</v>
      </c>
      <c r="BE6" s="21">
        <v>1414029</v>
      </c>
      <c r="BF6" s="21">
        <v>3929</v>
      </c>
      <c r="BG6" s="21">
        <v>53842</v>
      </c>
      <c r="BH6" s="21"/>
      <c r="BI6" s="21"/>
      <c r="BJ6" s="21">
        <v>-213033</v>
      </c>
      <c r="BK6" s="21">
        <v>-985422</v>
      </c>
      <c r="BL6" s="21">
        <v>-1425731</v>
      </c>
      <c r="BM6" s="21">
        <v>-1948656</v>
      </c>
      <c r="BN6" s="21">
        <v>44160</v>
      </c>
      <c r="BO6" s="21">
        <v>201326</v>
      </c>
      <c r="BP6" s="21">
        <f>B6+D6+F6+H6+J6+L6+N6+P6+R6+T6+V6+X6+Z6+AB6+AD6+AF6+AH6+AJ6+AL6+AN6+AP6+AR6+AT6+AV6+AX6+AZ6+BB6+BD6+BF6+BH6+BJ6+BL6+BN6</f>
        <v>-2957466.2000553017</v>
      </c>
      <c r="BQ6" s="21">
        <f>C6+E6+G6+I6+K6+M6+O6+Q6+S6+U6+W6+Y6+AA6+AC6+AE6+AG6+AI6+AK6+AM6+AO6+AQ6+AS6+AU6+AW6+AY6+BA6+BC6+BE6+BG6+BI6+BK6+BM6+BO6</f>
        <v>-4016595.9721265007</v>
      </c>
    </row>
    <row r="7" spans="1:69" x14ac:dyDescent="0.25">
      <c r="A7" s="25" t="s">
        <v>46</v>
      </c>
      <c r="B7" s="21"/>
      <c r="C7" s="21"/>
      <c r="D7" s="21"/>
      <c r="E7" s="21"/>
      <c r="F7" s="21"/>
      <c r="G7" s="21"/>
      <c r="H7" s="21"/>
      <c r="I7" s="21"/>
      <c r="J7" s="21">
        <v>35663</v>
      </c>
      <c r="K7" s="21">
        <v>-101165</v>
      </c>
      <c r="L7" s="21">
        <v>9395</v>
      </c>
      <c r="M7" s="21">
        <v>5282</v>
      </c>
      <c r="N7" s="21">
        <v>-9478</v>
      </c>
      <c r="O7" s="21">
        <v>40</v>
      </c>
      <c r="P7" s="21"/>
      <c r="Q7" s="21"/>
      <c r="R7" s="21"/>
      <c r="S7" s="21"/>
      <c r="T7" s="21">
        <v>-188</v>
      </c>
      <c r="U7" s="21">
        <v>-535</v>
      </c>
      <c r="V7" s="21"/>
      <c r="W7" s="21"/>
      <c r="X7" s="21">
        <v>29929</v>
      </c>
      <c r="Y7" s="21">
        <v>-8081</v>
      </c>
      <c r="Z7" s="21">
        <v>-241</v>
      </c>
      <c r="AA7" s="21">
        <v>-250</v>
      </c>
      <c r="AB7" s="21">
        <v>-69800</v>
      </c>
      <c r="AC7" s="21">
        <v>-193233</v>
      </c>
      <c r="AD7" s="21">
        <v>54622</v>
      </c>
      <c r="AE7" s="21">
        <v>-336291</v>
      </c>
      <c r="AF7" s="21">
        <v>82911</v>
      </c>
      <c r="AG7" s="21">
        <v>210469</v>
      </c>
      <c r="AH7" s="21"/>
      <c r="AI7" s="21"/>
      <c r="AJ7" s="21">
        <v>-32255</v>
      </c>
      <c r="AK7" s="21">
        <v>-94314</v>
      </c>
      <c r="AL7" s="21">
        <v>-11380</v>
      </c>
      <c r="AM7" s="21">
        <v>-30696</v>
      </c>
      <c r="AN7" s="21"/>
      <c r="AO7" s="21"/>
      <c r="AP7" s="21">
        <v>199818.32684500015</v>
      </c>
      <c r="AQ7" s="21">
        <v>-200125.07539179991</v>
      </c>
      <c r="AR7" s="21">
        <v>496286</v>
      </c>
      <c r="AS7" s="21">
        <v>736192</v>
      </c>
      <c r="AT7" s="21">
        <v>524211</v>
      </c>
      <c r="AU7" s="21">
        <v>502362</v>
      </c>
      <c r="AV7" s="21">
        <v>109</v>
      </c>
      <c r="AW7" s="21">
        <v>293</v>
      </c>
      <c r="AX7" s="21">
        <v>11685</v>
      </c>
      <c r="AY7" s="21">
        <v>-47290</v>
      </c>
      <c r="AZ7" s="21"/>
      <c r="BA7" s="21"/>
      <c r="BB7" s="21">
        <v>17898</v>
      </c>
      <c r="BC7" s="21">
        <v>21949</v>
      </c>
      <c r="BD7" s="21">
        <v>441</v>
      </c>
      <c r="BE7" s="21">
        <v>-40416</v>
      </c>
      <c r="BF7" s="21">
        <v>-1468</v>
      </c>
      <c r="BG7" s="21">
        <v>3951</v>
      </c>
      <c r="BH7" s="21"/>
      <c r="BI7" s="21"/>
      <c r="BJ7" s="21">
        <v>-135952</v>
      </c>
      <c r="BK7" s="21">
        <v>-154716</v>
      </c>
      <c r="BL7" s="21">
        <v>562246</v>
      </c>
      <c r="BM7" s="21">
        <v>-22370</v>
      </c>
      <c r="BN7" s="21">
        <v>-33121</v>
      </c>
      <c r="BO7" s="21">
        <v>5046</v>
      </c>
      <c r="BP7" s="21">
        <f t="shared" ref="BP7:BP28" si="0">B7+D7+F7+H7+J7+L7+N7+P7+R7+T7+V7+X7+Z7+AB7+AD7+AF7+AH7+AJ7+AL7+AN7+AP7+AR7+AT7+AV7+AX7+AZ7+BB7+BD7+BF7+BH7+BJ7+BL7+BN7</f>
        <v>1731331.326845</v>
      </c>
      <c r="BQ7" s="21">
        <f t="shared" ref="BQ7:BQ28" si="1">C7+E7+G7+I7+K7+M7+O7+Q7+S7+U7+W7+Y7+AA7+AC7+AE7+AG7+AI7+AK7+AM7+AO7+AQ7+AS7+AU7+AW7+AY7+BA7+BC7+BE7+BG7+BI7+BK7+BM7+BO7</f>
        <v>256101.92460820009</v>
      </c>
    </row>
    <row r="8" spans="1:69" x14ac:dyDescent="0.25">
      <c r="A8" s="25" t="s">
        <v>47</v>
      </c>
      <c r="B8" s="21">
        <v>-337374</v>
      </c>
      <c r="C8" s="21">
        <v>-705621</v>
      </c>
      <c r="D8" s="21">
        <v>-551931</v>
      </c>
      <c r="E8" s="21">
        <v>-1935424</v>
      </c>
      <c r="F8" s="21">
        <v>-2289287</v>
      </c>
      <c r="G8" s="21">
        <v>3477298</v>
      </c>
      <c r="H8" s="21">
        <v>-102973</v>
      </c>
      <c r="I8" s="21">
        <v>-1011852</v>
      </c>
      <c r="J8" s="21">
        <v>2283508</v>
      </c>
      <c r="K8" s="21">
        <v>8206673</v>
      </c>
      <c r="L8" s="21">
        <v>-13427</v>
      </c>
      <c r="M8" s="21">
        <v>-92889</v>
      </c>
      <c r="N8" s="21">
        <v>-109320</v>
      </c>
      <c r="O8" s="39">
        <v>1277201</v>
      </c>
      <c r="P8" s="21">
        <v>-437906</v>
      </c>
      <c r="Q8" s="21">
        <v>-1421894</v>
      </c>
      <c r="R8" s="21">
        <v>-153410</v>
      </c>
      <c r="S8" s="21">
        <v>-172609</v>
      </c>
      <c r="T8" s="21">
        <v>-197388</v>
      </c>
      <c r="U8" s="21">
        <v>-424955</v>
      </c>
      <c r="V8" s="21">
        <v>1256593</v>
      </c>
      <c r="W8" s="21">
        <v>-347992</v>
      </c>
      <c r="X8" s="21">
        <v>376485</v>
      </c>
      <c r="Y8" s="21">
        <v>1089072</v>
      </c>
      <c r="Z8" s="21">
        <v>-591256</v>
      </c>
      <c r="AA8" s="21">
        <v>-1717841</v>
      </c>
      <c r="AB8" s="21">
        <v>1499291</v>
      </c>
      <c r="AC8" s="21">
        <v>3777577</v>
      </c>
      <c r="AD8" s="21">
        <v>2464999</v>
      </c>
      <c r="AE8" s="21">
        <v>9154944</v>
      </c>
      <c r="AF8" s="21">
        <v>530541</v>
      </c>
      <c r="AG8" s="21">
        <v>793115</v>
      </c>
      <c r="AH8" s="21">
        <v>-111249</v>
      </c>
      <c r="AI8" s="21">
        <v>-313733</v>
      </c>
      <c r="AJ8" s="21">
        <v>-646846</v>
      </c>
      <c r="AK8" s="21">
        <v>-886369</v>
      </c>
      <c r="AL8" s="21">
        <v>-12108</v>
      </c>
      <c r="AM8" s="21">
        <v>161856</v>
      </c>
      <c r="AN8" s="21">
        <v>163965</v>
      </c>
      <c r="AO8" s="21">
        <v>222000</v>
      </c>
      <c r="AP8" s="21">
        <v>-2713559.1518273205</v>
      </c>
      <c r="AQ8" s="21">
        <v>-14669645.604070589</v>
      </c>
      <c r="AR8" s="21">
        <v>-4231571</v>
      </c>
      <c r="AS8" s="21">
        <v>-1836083</v>
      </c>
      <c r="AT8" s="21">
        <v>-7353911</v>
      </c>
      <c r="AU8" s="21">
        <v>-11112508</v>
      </c>
      <c r="AV8" s="21">
        <v>-53002</v>
      </c>
      <c r="AW8" s="21">
        <v>-128632</v>
      </c>
      <c r="AX8" s="21">
        <v>304154</v>
      </c>
      <c r="AY8" s="21">
        <v>1124459</v>
      </c>
      <c r="AZ8" s="21">
        <v>401215</v>
      </c>
      <c r="BA8" s="21">
        <v>276456</v>
      </c>
      <c r="BB8" s="21">
        <v>185680</v>
      </c>
      <c r="BC8" s="21">
        <v>868803</v>
      </c>
      <c r="BD8" s="21">
        <v>240554</v>
      </c>
      <c r="BE8" s="21">
        <v>1433967</v>
      </c>
      <c r="BF8" s="21">
        <v>1688901</v>
      </c>
      <c r="BG8" s="21">
        <v>4544303</v>
      </c>
      <c r="BH8" s="21">
        <v>-287407</v>
      </c>
      <c r="BI8" s="21">
        <v>-2660105</v>
      </c>
      <c r="BJ8" s="21">
        <v>-430833</v>
      </c>
      <c r="BK8" s="21">
        <v>1685851</v>
      </c>
      <c r="BL8" s="21">
        <v>-6183801</v>
      </c>
      <c r="BM8" s="21">
        <v>-20983323</v>
      </c>
      <c r="BN8" s="21">
        <v>-409426</v>
      </c>
      <c r="BO8" s="21">
        <v>86300</v>
      </c>
      <c r="BP8" s="21">
        <f t="shared" si="0"/>
        <v>-15822099.15182732</v>
      </c>
      <c r="BQ8" s="21">
        <f t="shared" si="1"/>
        <v>-22241600.604070589</v>
      </c>
    </row>
    <row r="9" spans="1:69" s="15" customFormat="1" x14ac:dyDescent="0.25">
      <c r="A9" s="23" t="s">
        <v>48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1"/>
      <c r="BQ9" s="21"/>
    </row>
    <row r="10" spans="1:69" x14ac:dyDescent="0.25">
      <c r="A10" s="25" t="s">
        <v>49</v>
      </c>
      <c r="B10" s="21">
        <v>-4894</v>
      </c>
      <c r="C10" s="21">
        <v>28259</v>
      </c>
      <c r="D10" s="21">
        <v>27730</v>
      </c>
      <c r="E10" s="21">
        <v>61902</v>
      </c>
      <c r="F10" s="45">
        <v>418546</v>
      </c>
      <c r="G10" s="45">
        <v>1289346</v>
      </c>
      <c r="H10" s="21">
        <v>46182</v>
      </c>
      <c r="I10" s="21">
        <v>123949</v>
      </c>
      <c r="J10" s="21">
        <v>631536</v>
      </c>
      <c r="K10" s="21">
        <v>1826295</v>
      </c>
      <c r="L10" s="21">
        <v>74715</v>
      </c>
      <c r="M10" s="21">
        <v>277963</v>
      </c>
      <c r="N10" s="21">
        <v>144883</v>
      </c>
      <c r="O10" s="21">
        <v>396451</v>
      </c>
      <c r="P10" s="21">
        <v>42331</v>
      </c>
      <c r="Q10" s="21">
        <v>97510</v>
      </c>
      <c r="R10" s="21">
        <v>19416</v>
      </c>
      <c r="S10" s="21">
        <v>68571</v>
      </c>
      <c r="T10" s="21">
        <v>26021</v>
      </c>
      <c r="U10" s="21">
        <v>73508</v>
      </c>
      <c r="V10" s="21">
        <v>736503</v>
      </c>
      <c r="W10" s="21">
        <v>2050660</v>
      </c>
      <c r="X10" s="21">
        <v>108056</v>
      </c>
      <c r="Y10" s="21">
        <v>324408</v>
      </c>
      <c r="Z10" s="21">
        <v>102609</v>
      </c>
      <c r="AA10" s="21">
        <v>248107</v>
      </c>
      <c r="AB10" s="21">
        <v>363346</v>
      </c>
      <c r="AC10" s="21">
        <v>1155632</v>
      </c>
      <c r="AD10" s="21">
        <v>844858</v>
      </c>
      <c r="AE10" s="21">
        <v>2548836</v>
      </c>
      <c r="AF10" s="21">
        <v>328915</v>
      </c>
      <c r="AG10" s="21">
        <v>855732</v>
      </c>
      <c r="AH10" s="21">
        <v>18600</v>
      </c>
      <c r="AI10" s="21">
        <v>58778</v>
      </c>
      <c r="AJ10" s="21">
        <v>73976</v>
      </c>
      <c r="AK10" s="21">
        <v>261521</v>
      </c>
      <c r="AL10" s="21">
        <v>43308</v>
      </c>
      <c r="AM10" s="21">
        <v>110614</v>
      </c>
      <c r="AN10" s="21">
        <v>46269</v>
      </c>
      <c r="AO10" s="21">
        <v>136030</v>
      </c>
      <c r="AP10" s="21">
        <v>280695</v>
      </c>
      <c r="AQ10" s="21">
        <v>927628</v>
      </c>
      <c r="AR10" s="21">
        <v>2680969</v>
      </c>
      <c r="AS10" s="21">
        <v>8691659</v>
      </c>
      <c r="AT10" s="21">
        <v>567676</v>
      </c>
      <c r="AU10" s="21">
        <v>1901268</v>
      </c>
      <c r="AV10" s="21">
        <v>24606</v>
      </c>
      <c r="AW10" s="21">
        <v>89207</v>
      </c>
      <c r="AX10" s="21">
        <v>113010</v>
      </c>
      <c r="AY10" s="21">
        <v>621006</v>
      </c>
      <c r="AZ10" s="21">
        <v>55145</v>
      </c>
      <c r="BA10" s="21">
        <v>158385</v>
      </c>
      <c r="BB10" s="21">
        <v>193137</v>
      </c>
      <c r="BC10" s="21">
        <v>571836</v>
      </c>
      <c r="BD10" s="21">
        <v>322446</v>
      </c>
      <c r="BE10" s="21">
        <v>929502</v>
      </c>
      <c r="BF10" s="21">
        <v>128753</v>
      </c>
      <c r="BG10" s="21">
        <v>375949</v>
      </c>
      <c r="BH10" s="21">
        <v>212978</v>
      </c>
      <c r="BI10" s="21">
        <v>523491</v>
      </c>
      <c r="BJ10" s="21">
        <v>272139</v>
      </c>
      <c r="BK10" s="21">
        <v>902912</v>
      </c>
      <c r="BL10" s="21">
        <v>482248</v>
      </c>
      <c r="BM10" s="21">
        <v>1753379</v>
      </c>
      <c r="BN10" s="21">
        <v>-32591</v>
      </c>
      <c r="BO10" s="21">
        <v>212643</v>
      </c>
      <c r="BP10" s="21">
        <f t="shared" si="0"/>
        <v>9394117</v>
      </c>
      <c r="BQ10" s="21">
        <f t="shared" si="1"/>
        <v>29652937</v>
      </c>
    </row>
    <row r="11" spans="1:69" x14ac:dyDescent="0.25">
      <c r="A11" s="25" t="s">
        <v>50</v>
      </c>
      <c r="B11" s="21">
        <v>365</v>
      </c>
      <c r="C11" s="21">
        <v>3310</v>
      </c>
      <c r="D11" s="21"/>
      <c r="E11" s="21">
        <v>1077</v>
      </c>
      <c r="F11" s="21">
        <v>282</v>
      </c>
      <c r="G11" s="21">
        <v>1328</v>
      </c>
      <c r="H11" s="21">
        <v>1193</v>
      </c>
      <c r="I11" s="21">
        <v>9449</v>
      </c>
      <c r="J11" s="21">
        <v>106804</v>
      </c>
      <c r="K11" s="21">
        <v>304203</v>
      </c>
      <c r="L11" s="21">
        <v>9422</v>
      </c>
      <c r="M11" s="21">
        <v>24113</v>
      </c>
      <c r="N11" s="21">
        <v>5999</v>
      </c>
      <c r="O11" s="21">
        <v>20071</v>
      </c>
      <c r="P11" s="21">
        <v>1792</v>
      </c>
      <c r="Q11" s="21">
        <v>4668</v>
      </c>
      <c r="R11" s="21">
        <v>2630</v>
      </c>
      <c r="S11" s="21">
        <v>4377</v>
      </c>
      <c r="T11" s="21">
        <v>7388</v>
      </c>
      <c r="U11" s="21">
        <v>9601</v>
      </c>
      <c r="V11" s="21"/>
      <c r="W11" s="21">
        <v>223307</v>
      </c>
      <c r="X11" s="21">
        <v>2743</v>
      </c>
      <c r="Y11" s="21">
        <v>12506</v>
      </c>
      <c r="Z11" s="21">
        <v>737</v>
      </c>
      <c r="AA11" s="21">
        <v>9846</v>
      </c>
      <c r="AB11" s="21">
        <v>71939</v>
      </c>
      <c r="AC11" s="21">
        <v>143543</v>
      </c>
      <c r="AD11" s="21">
        <v>216404</v>
      </c>
      <c r="AE11" s="21">
        <v>1081985</v>
      </c>
      <c r="AF11" s="21">
        <v>8901</v>
      </c>
      <c r="AG11" s="21">
        <v>26260</v>
      </c>
      <c r="AH11" s="21">
        <v>1484</v>
      </c>
      <c r="AI11" s="21">
        <v>3988</v>
      </c>
      <c r="AJ11" s="21">
        <v>2213</v>
      </c>
      <c r="AK11" s="21">
        <v>6778</v>
      </c>
      <c r="AL11" s="21">
        <v>2884</v>
      </c>
      <c r="AM11" s="21">
        <v>7685</v>
      </c>
      <c r="AN11" s="21">
        <v>4724</v>
      </c>
      <c r="AO11" s="21">
        <v>10761</v>
      </c>
      <c r="AP11" s="21">
        <v>303249</v>
      </c>
      <c r="AQ11" s="21">
        <v>815874</v>
      </c>
      <c r="AR11" s="21">
        <v>2223630</v>
      </c>
      <c r="AS11" s="21">
        <v>7175977</v>
      </c>
      <c r="AT11" s="21">
        <v>719625</v>
      </c>
      <c r="AU11" s="21">
        <v>2592560</v>
      </c>
      <c r="AV11" s="21">
        <v>681</v>
      </c>
      <c r="AW11" s="21">
        <v>3365</v>
      </c>
      <c r="AX11" s="21">
        <v>6614</v>
      </c>
      <c r="AY11" s="21">
        <v>30290</v>
      </c>
      <c r="AZ11" s="21"/>
      <c r="BA11" s="21">
        <v>114</v>
      </c>
      <c r="BB11" s="21">
        <v>9973</v>
      </c>
      <c r="BC11" s="21">
        <v>61103</v>
      </c>
      <c r="BD11" s="21">
        <v>39710</v>
      </c>
      <c r="BE11" s="21">
        <v>96057</v>
      </c>
      <c r="BF11" s="21">
        <v>0</v>
      </c>
      <c r="BG11" s="21">
        <v>4664</v>
      </c>
      <c r="BH11" s="21">
        <v>288</v>
      </c>
      <c r="BI11" s="21">
        <v>3043</v>
      </c>
      <c r="BJ11" s="21">
        <v>6064</v>
      </c>
      <c r="BK11" s="21">
        <v>186037</v>
      </c>
      <c r="BL11" s="21">
        <v>383245</v>
      </c>
      <c r="BM11" s="21">
        <v>1138886</v>
      </c>
      <c r="BN11" s="21">
        <v>-1716</v>
      </c>
      <c r="BO11" s="21">
        <v>11182</v>
      </c>
      <c r="BP11" s="21">
        <f t="shared" si="0"/>
        <v>4139267</v>
      </c>
      <c r="BQ11" s="21">
        <f t="shared" si="1"/>
        <v>14028008</v>
      </c>
    </row>
    <row r="12" spans="1:69" x14ac:dyDescent="0.25">
      <c r="A12" s="25" t="s">
        <v>164</v>
      </c>
      <c r="B12" s="29">
        <v>-800</v>
      </c>
      <c r="C12" s="29">
        <v>2033</v>
      </c>
      <c r="D12" s="21"/>
      <c r="E12" s="21">
        <v>-102</v>
      </c>
      <c r="F12" s="21"/>
      <c r="G12" s="21"/>
      <c r="H12" s="21"/>
      <c r="I12" s="21"/>
      <c r="J12" s="21">
        <v>-32034</v>
      </c>
      <c r="K12" s="21">
        <v>-76243</v>
      </c>
      <c r="L12" s="21"/>
      <c r="M12" s="21"/>
      <c r="N12" s="21"/>
      <c r="O12" s="21"/>
      <c r="P12" s="21"/>
      <c r="Q12" s="21"/>
      <c r="R12" s="21"/>
      <c r="S12" s="21"/>
      <c r="T12" s="21">
        <v>452</v>
      </c>
      <c r="U12" s="21">
        <v>-17317</v>
      </c>
      <c r="V12" s="21"/>
      <c r="W12" s="21"/>
      <c r="X12" s="21">
        <v>-690</v>
      </c>
      <c r="Y12" s="21">
        <v>-2565</v>
      </c>
      <c r="Z12" s="21">
        <v>-3438</v>
      </c>
      <c r="AA12" s="21">
        <v>-35211</v>
      </c>
      <c r="AB12" s="21"/>
      <c r="AC12" s="21"/>
      <c r="AD12" s="21">
        <v>-110571</v>
      </c>
      <c r="AE12" s="21">
        <v>-137221</v>
      </c>
      <c r="AF12" s="21"/>
      <c r="AG12" s="21"/>
      <c r="AH12" s="21">
        <v>64</v>
      </c>
      <c r="AI12" s="21">
        <v>-1118</v>
      </c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>
        <v>464</v>
      </c>
      <c r="AU12" s="21"/>
      <c r="AV12" s="21"/>
      <c r="AW12" s="21"/>
      <c r="AX12" s="21">
        <v>-63</v>
      </c>
      <c r="AY12" s="21">
        <v>-2043</v>
      </c>
      <c r="AZ12" s="21"/>
      <c r="BA12" s="21"/>
      <c r="BB12" s="21">
        <v>-3812</v>
      </c>
      <c r="BC12" s="21">
        <v>-16272</v>
      </c>
      <c r="BD12" s="21">
        <v>-8168</v>
      </c>
      <c r="BE12" s="21">
        <v>-8168</v>
      </c>
      <c r="BF12" s="21"/>
      <c r="BG12" s="21"/>
      <c r="BH12" s="21"/>
      <c r="BI12" s="21"/>
      <c r="BJ12" s="21">
        <v>-4502</v>
      </c>
      <c r="BK12" s="21">
        <v>-52504</v>
      </c>
      <c r="BL12" s="21"/>
      <c r="BM12" s="21"/>
      <c r="BN12" s="21">
        <v>-14586</v>
      </c>
      <c r="BO12" s="21">
        <v>-21857</v>
      </c>
      <c r="BP12" s="21">
        <f t="shared" si="0"/>
        <v>-177684</v>
      </c>
      <c r="BQ12" s="21">
        <f t="shared" si="1"/>
        <v>-368588</v>
      </c>
    </row>
    <row r="13" spans="1:69" ht="15" customHeight="1" x14ac:dyDescent="0.25">
      <c r="A13" s="25" t="s">
        <v>237</v>
      </c>
      <c r="B13" s="49"/>
      <c r="C13" s="49"/>
      <c r="D13" s="21">
        <v>-728</v>
      </c>
      <c r="E13" s="21">
        <v>-2590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>
        <v>-10120</v>
      </c>
      <c r="AC13" s="21">
        <v>-30551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>
        <v>-5518</v>
      </c>
      <c r="BK13" s="21">
        <v>-28472</v>
      </c>
      <c r="BL13" s="21"/>
      <c r="BM13" s="21"/>
      <c r="BN13" s="21"/>
      <c r="BO13" s="21"/>
      <c r="BP13" s="21">
        <f t="shared" si="0"/>
        <v>-16366</v>
      </c>
      <c r="BQ13" s="21">
        <f t="shared" si="1"/>
        <v>-61613</v>
      </c>
    </row>
    <row r="14" spans="1:69" x14ac:dyDescent="0.25">
      <c r="A14" s="21" t="s">
        <v>254</v>
      </c>
      <c r="B14" s="49"/>
      <c r="C14" s="49"/>
      <c r="D14" s="21"/>
      <c r="E14" s="21"/>
      <c r="F14" s="21">
        <v>9923</v>
      </c>
      <c r="G14" s="21">
        <v>81162</v>
      </c>
      <c r="H14" s="21">
        <v>-1</v>
      </c>
      <c r="I14" s="21">
        <v>-1</v>
      </c>
      <c r="J14" s="21">
        <v>-15843</v>
      </c>
      <c r="K14" s="21">
        <v>-40127</v>
      </c>
      <c r="L14" s="21">
        <v>-136</v>
      </c>
      <c r="M14" s="21">
        <v>-1262</v>
      </c>
      <c r="N14" s="21"/>
      <c r="O14" s="21"/>
      <c r="P14" s="21"/>
      <c r="Q14" s="21"/>
      <c r="R14" s="21"/>
      <c r="S14" s="21"/>
      <c r="T14" s="21">
        <v>43</v>
      </c>
      <c r="U14" s="21">
        <v>1496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>
        <v>733</v>
      </c>
      <c r="AO14" s="21">
        <v>14816</v>
      </c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>
        <v>2117</v>
      </c>
      <c r="BO14" s="21">
        <v>-5774</v>
      </c>
      <c r="BP14" s="21">
        <f t="shared" si="0"/>
        <v>-3164</v>
      </c>
      <c r="BQ14" s="21">
        <f t="shared" si="1"/>
        <v>50310</v>
      </c>
    </row>
    <row r="15" spans="1:69" s="15" customFormat="1" x14ac:dyDescent="0.25">
      <c r="A15" s="23" t="s">
        <v>51</v>
      </c>
      <c r="B15" s="24"/>
      <c r="C15" s="24"/>
      <c r="D15" s="24"/>
      <c r="E15" s="24"/>
      <c r="F15" s="46">
        <v>1625</v>
      </c>
      <c r="G15" s="21">
        <v>159393</v>
      </c>
      <c r="H15" s="46">
        <v>883</v>
      </c>
      <c r="I15" s="46">
        <v>2835</v>
      </c>
      <c r="J15" s="46"/>
      <c r="K15" s="46"/>
      <c r="L15" s="24"/>
      <c r="M15" s="24"/>
      <c r="N15" s="46"/>
      <c r="O15" s="46"/>
      <c r="P15" s="46"/>
      <c r="Q15" s="46"/>
      <c r="R15" s="46">
        <v>461</v>
      </c>
      <c r="S15" s="46">
        <v>476</v>
      </c>
      <c r="T15" s="46"/>
      <c r="U15" s="46"/>
      <c r="V15" s="46">
        <f>V16-V8-V10</f>
        <v>11617</v>
      </c>
      <c r="W15" s="46">
        <f>W16-W8-W10-W11</f>
        <v>898819</v>
      </c>
      <c r="X15" s="46"/>
      <c r="Y15" s="46"/>
      <c r="Z15" s="46"/>
      <c r="AA15" s="46"/>
      <c r="AB15" s="46"/>
      <c r="AC15" s="21">
        <v>175000</v>
      </c>
      <c r="AD15" s="46">
        <v>111203</v>
      </c>
      <c r="AE15" s="46">
        <v>111363</v>
      </c>
      <c r="AF15" s="46">
        <v>3349</v>
      </c>
      <c r="AG15" s="46">
        <v>14196</v>
      </c>
      <c r="AH15" s="46">
        <v>1116</v>
      </c>
      <c r="AI15" s="46">
        <v>1142</v>
      </c>
      <c r="AJ15" s="46"/>
      <c r="AK15" s="46"/>
      <c r="AL15" s="46"/>
      <c r="AM15" s="46"/>
      <c r="AN15" s="46">
        <v>4285</v>
      </c>
      <c r="AO15" s="46">
        <v>3388</v>
      </c>
      <c r="AP15" s="46">
        <v>24730</v>
      </c>
      <c r="AQ15" s="46">
        <v>718388</v>
      </c>
      <c r="AR15" s="46">
        <v>-239423</v>
      </c>
      <c r="AS15" s="46">
        <v>-168775</v>
      </c>
      <c r="AT15" s="46">
        <v>988580</v>
      </c>
      <c r="AU15" s="46">
        <v>1181512</v>
      </c>
      <c r="AV15" s="46">
        <v>57</v>
      </c>
      <c r="AW15" s="46">
        <v>129</v>
      </c>
      <c r="AX15" s="46">
        <v>4059</v>
      </c>
      <c r="AY15" s="46">
        <v>18699</v>
      </c>
      <c r="AZ15" s="46"/>
      <c r="BA15" s="46">
        <v>7</v>
      </c>
      <c r="BB15" s="46">
        <v>142</v>
      </c>
      <c r="BC15" s="46">
        <v>833</v>
      </c>
      <c r="BD15" s="46">
        <v>2673</v>
      </c>
      <c r="BE15" s="46">
        <f>7158+1125</f>
        <v>8283</v>
      </c>
      <c r="BF15" s="46"/>
      <c r="BG15" s="46"/>
      <c r="BH15" s="46"/>
      <c r="BI15" s="46"/>
      <c r="BJ15" s="46">
        <v>581</v>
      </c>
      <c r="BK15" s="46">
        <v>1778</v>
      </c>
      <c r="BL15" s="46">
        <f>-27330+1102</f>
        <v>-26228</v>
      </c>
      <c r="BM15" s="46">
        <f>377+26352</f>
        <v>26729</v>
      </c>
      <c r="BN15" s="46">
        <v>-92</v>
      </c>
      <c r="BO15" s="21">
        <v>25</v>
      </c>
      <c r="BP15" s="21">
        <f t="shared" si="0"/>
        <v>889618</v>
      </c>
      <c r="BQ15" s="21">
        <f t="shared" si="1"/>
        <v>3154220</v>
      </c>
    </row>
    <row r="16" spans="1:69" s="15" customFormat="1" x14ac:dyDescent="0.25">
      <c r="A16" s="23" t="s">
        <v>35</v>
      </c>
      <c r="B16" s="24">
        <v>-341103</v>
      </c>
      <c r="C16" s="24">
        <v>-676085</v>
      </c>
      <c r="D16" s="24">
        <v>-524929</v>
      </c>
      <c r="E16" s="24">
        <v>-1875137</v>
      </c>
      <c r="F16" s="24">
        <v>-1858911</v>
      </c>
      <c r="G16" s="24">
        <v>5008526</v>
      </c>
      <c r="H16" s="24">
        <v>-54716</v>
      </c>
      <c r="I16" s="24">
        <v>-875620</v>
      </c>
      <c r="J16" s="24">
        <v>3277198</v>
      </c>
      <c r="K16" s="24">
        <v>10477134</v>
      </c>
      <c r="L16" s="24">
        <v>93406</v>
      </c>
      <c r="M16" s="24">
        <v>230866</v>
      </c>
      <c r="N16" s="24">
        <v>837618</v>
      </c>
      <c r="O16" s="24">
        <v>2581154</v>
      </c>
      <c r="P16" s="24">
        <v>-393783</v>
      </c>
      <c r="Q16" s="24">
        <v>-1319716</v>
      </c>
      <c r="R16" s="24">
        <v>-185507</v>
      </c>
      <c r="S16" s="24">
        <v>-280716</v>
      </c>
      <c r="T16" s="24">
        <v>-163441</v>
      </c>
      <c r="U16" s="24">
        <v>-376213</v>
      </c>
      <c r="V16" s="24">
        <v>2004713</v>
      </c>
      <c r="W16" s="24">
        <v>2824794</v>
      </c>
      <c r="X16" s="24">
        <v>461821</v>
      </c>
      <c r="Y16" s="24">
        <v>1303269</v>
      </c>
      <c r="Z16" s="24">
        <v>-524195</v>
      </c>
      <c r="AA16" s="24">
        <v>-1558723</v>
      </c>
      <c r="AB16" s="24">
        <v>1917291</v>
      </c>
      <c r="AC16" s="24">
        <v>5211085</v>
      </c>
      <c r="AD16" s="24">
        <v>3830192</v>
      </c>
      <c r="AE16" s="24">
        <v>12951803</v>
      </c>
      <c r="AF16" s="24">
        <v>1091480</v>
      </c>
      <c r="AG16" s="24">
        <v>2210696</v>
      </c>
      <c r="AH16" s="24">
        <v>-90315</v>
      </c>
      <c r="AI16" s="24">
        <v>-259129</v>
      </c>
      <c r="AJ16" s="24"/>
      <c r="AK16" s="24"/>
      <c r="AL16" s="24">
        <v>-49822</v>
      </c>
      <c r="AM16" s="24">
        <v>87041</v>
      </c>
      <c r="AN16" s="24">
        <v>219976</v>
      </c>
      <c r="AO16" s="24">
        <v>386995</v>
      </c>
      <c r="AP16" s="24">
        <v>-2711547.0250376221</v>
      </c>
      <c r="AQ16" s="24">
        <v>-11120742.651588889</v>
      </c>
      <c r="AR16" s="24">
        <v>-1293939</v>
      </c>
      <c r="AS16" s="24">
        <v>10041407</v>
      </c>
      <c r="AT16" s="24">
        <v>-4920221</v>
      </c>
      <c r="AU16" s="24">
        <v>-6174100</v>
      </c>
      <c r="AV16" s="24">
        <v>-25980</v>
      </c>
      <c r="AW16" s="24">
        <v>-30696</v>
      </c>
      <c r="AX16" s="24">
        <v>496018</v>
      </c>
      <c r="AY16" s="24">
        <v>1855341</v>
      </c>
      <c r="AZ16" s="24">
        <v>456360</v>
      </c>
      <c r="BA16" s="24">
        <v>434962</v>
      </c>
      <c r="BB16" s="24">
        <v>427134</v>
      </c>
      <c r="BC16" s="24">
        <v>1507613</v>
      </c>
      <c r="BD16" s="24">
        <v>1261689</v>
      </c>
      <c r="BE16" s="24">
        <v>3833254</v>
      </c>
      <c r="BF16" s="24">
        <v>1820115</v>
      </c>
      <c r="BG16" s="24">
        <v>4982709</v>
      </c>
      <c r="BH16" s="24">
        <v>-74142</v>
      </c>
      <c r="BI16" s="24">
        <v>-2133571</v>
      </c>
      <c r="BJ16" s="24">
        <v>-511054</v>
      </c>
      <c r="BK16" s="24">
        <v>1555464</v>
      </c>
      <c r="BL16" s="24">
        <v>-6208021</v>
      </c>
      <c r="BM16" s="24">
        <v>-20035355</v>
      </c>
      <c r="BN16" s="24">
        <v>-445255</v>
      </c>
      <c r="BO16" s="24">
        <v>488891</v>
      </c>
      <c r="BP16" s="24">
        <f t="shared" si="0"/>
        <v>-2181870.0250376221</v>
      </c>
      <c r="BQ16" s="24">
        <f t="shared" si="1"/>
        <v>21257200.348411113</v>
      </c>
    </row>
    <row r="17" spans="1:69" s="15" customFormat="1" x14ac:dyDescent="0.25">
      <c r="A17" s="23" t="s">
        <v>52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46"/>
      <c r="AS17" s="46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1"/>
      <c r="BQ17" s="21"/>
    </row>
    <row r="18" spans="1:69" ht="15" customHeight="1" x14ac:dyDescent="0.25">
      <c r="A18" s="25" t="s">
        <v>53</v>
      </c>
      <c r="B18" s="21">
        <v>9800</v>
      </c>
      <c r="C18" s="21">
        <v>9800</v>
      </c>
      <c r="D18" s="21"/>
      <c r="E18" s="21"/>
      <c r="F18" s="21"/>
      <c r="G18" s="21"/>
      <c r="H18" s="21"/>
      <c r="I18" s="21"/>
      <c r="J18" s="21"/>
      <c r="K18" s="21"/>
      <c r="L18" s="21">
        <v>67500</v>
      </c>
      <c r="M18" s="21">
        <v>67500</v>
      </c>
      <c r="N18" s="21">
        <v>9590</v>
      </c>
      <c r="O18" s="21">
        <v>255603</v>
      </c>
      <c r="P18" s="21"/>
      <c r="Q18" s="21"/>
      <c r="R18" s="21"/>
      <c r="S18" s="21"/>
      <c r="T18" s="21">
        <v>1499</v>
      </c>
      <c r="U18" s="21">
        <v>1995</v>
      </c>
      <c r="V18" s="21"/>
      <c r="W18" s="21"/>
      <c r="X18" s="21">
        <v>22500</v>
      </c>
      <c r="Y18" s="21">
        <v>22500</v>
      </c>
      <c r="Z18" s="21"/>
      <c r="AA18" s="21"/>
      <c r="AB18" s="21">
        <v>328849</v>
      </c>
      <c r="AC18" s="21">
        <v>484588</v>
      </c>
      <c r="AD18" s="21"/>
      <c r="AE18" s="21">
        <v>7729</v>
      </c>
      <c r="AF18" s="21"/>
      <c r="AG18" s="21"/>
      <c r="AH18" s="21"/>
      <c r="AI18" s="21"/>
      <c r="AJ18" s="21"/>
      <c r="AK18" s="21"/>
      <c r="AL18" s="21"/>
      <c r="AM18" s="21">
        <v>20644</v>
      </c>
      <c r="AN18" s="21">
        <v>29992</v>
      </c>
      <c r="AO18" s="21">
        <v>29992</v>
      </c>
      <c r="AP18" s="21">
        <v>17079</v>
      </c>
      <c r="AQ18" s="21">
        <v>15632</v>
      </c>
      <c r="AR18" s="21"/>
      <c r="AS18" s="21"/>
      <c r="AT18" s="21"/>
      <c r="AU18" s="21"/>
      <c r="AV18" s="21"/>
      <c r="AW18" s="21"/>
      <c r="AX18" s="21">
        <v>35000</v>
      </c>
      <c r="AY18" s="21">
        <v>70000</v>
      </c>
      <c r="AZ18" s="21"/>
      <c r="BA18" s="21"/>
      <c r="BB18" s="21"/>
      <c r="BC18" s="21"/>
      <c r="BD18" s="21">
        <v>15083</v>
      </c>
      <c r="BE18" s="21">
        <v>28905</v>
      </c>
      <c r="BF18" s="21"/>
      <c r="BG18" s="21"/>
      <c r="BH18" s="21"/>
      <c r="BI18" s="21"/>
      <c r="BJ18" s="21"/>
      <c r="BK18" s="21"/>
      <c r="BL18" s="21">
        <v>-85</v>
      </c>
      <c r="BM18" s="21">
        <v>38153</v>
      </c>
      <c r="BN18" s="21"/>
      <c r="BO18" s="21"/>
      <c r="BP18" s="21">
        <f t="shared" si="0"/>
        <v>536807</v>
      </c>
      <c r="BQ18" s="21">
        <f t="shared" si="1"/>
        <v>1053041</v>
      </c>
    </row>
    <row r="19" spans="1:69" x14ac:dyDescent="0.25">
      <c r="A19" s="25" t="s">
        <v>54</v>
      </c>
      <c r="B19" s="21"/>
      <c r="C19" s="21"/>
      <c r="D19" s="21"/>
      <c r="E19" s="21"/>
      <c r="F19" s="21"/>
      <c r="G19" s="21"/>
      <c r="H19" s="21"/>
      <c r="I19" s="21"/>
      <c r="J19" s="21">
        <v>4655</v>
      </c>
      <c r="K19" s="21">
        <v>9634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>
        <v>150000</v>
      </c>
      <c r="Y19" s="21">
        <v>150000</v>
      </c>
      <c r="Z19" s="21"/>
      <c r="AA19" s="21"/>
      <c r="AB19" s="21"/>
      <c r="AC19" s="21"/>
      <c r="AD19" s="21">
        <v>52090</v>
      </c>
      <c r="AE19" s="21">
        <v>-596619</v>
      </c>
      <c r="AF19" s="21"/>
      <c r="AG19" s="21"/>
      <c r="AH19" s="21"/>
      <c r="AI19" s="21"/>
      <c r="AJ19" s="21"/>
      <c r="AK19" s="21">
        <v>52728</v>
      </c>
      <c r="AL19" s="21"/>
      <c r="AM19" s="21"/>
      <c r="AN19" s="21">
        <v>5056</v>
      </c>
      <c r="AO19" s="21">
        <v>37955</v>
      </c>
      <c r="AP19" s="21"/>
      <c r="AQ19" s="21"/>
      <c r="AR19" s="21">
        <v>-4172</v>
      </c>
      <c r="AS19" s="21">
        <v>-5770</v>
      </c>
      <c r="AT19" s="21">
        <v>3839</v>
      </c>
      <c r="AU19" s="21">
        <v>3839</v>
      </c>
      <c r="AV19" s="21"/>
      <c r="AW19" s="21"/>
      <c r="AX19" s="21">
        <v>1189</v>
      </c>
      <c r="AY19" s="21">
        <v>39987</v>
      </c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>
        <v>6684</v>
      </c>
      <c r="BK19" s="21">
        <v>47055</v>
      </c>
      <c r="BL19" s="21">
        <v>-651</v>
      </c>
      <c r="BM19" s="21">
        <v>-2292</v>
      </c>
      <c r="BN19" s="21"/>
      <c r="BO19" s="21"/>
      <c r="BP19" s="21">
        <f t="shared" si="0"/>
        <v>218690</v>
      </c>
      <c r="BQ19" s="21">
        <f t="shared" si="1"/>
        <v>-263483</v>
      </c>
    </row>
    <row r="20" spans="1:69" x14ac:dyDescent="0.25">
      <c r="A20" s="25" t="s">
        <v>256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>
        <v>68400</v>
      </c>
      <c r="W20" s="21">
        <v>68400</v>
      </c>
      <c r="X20" s="21"/>
      <c r="Y20" s="21"/>
      <c r="Z20" s="21"/>
      <c r="AA20" s="21"/>
      <c r="AB20" s="21"/>
      <c r="AC20" s="21"/>
      <c r="AD20" s="21">
        <v>-31379</v>
      </c>
      <c r="AE20" s="21">
        <v>-30068</v>
      </c>
      <c r="AF20" s="21"/>
      <c r="AG20" s="21"/>
      <c r="AH20" s="21"/>
      <c r="AI20" s="21"/>
      <c r="AJ20" s="21"/>
      <c r="AK20" s="21"/>
      <c r="AL20" s="21"/>
      <c r="AM20" s="21">
        <v>240</v>
      </c>
      <c r="AN20" s="21"/>
      <c r="AO20" s="21"/>
      <c r="AP20" s="21"/>
      <c r="AQ20" s="21"/>
      <c r="AR20" s="45">
        <v>166402</v>
      </c>
      <c r="AS20" s="45">
        <v>182568</v>
      </c>
      <c r="AT20" s="21">
        <v>15905</v>
      </c>
      <c r="AU20" s="21">
        <v>47307</v>
      </c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>
        <v>683</v>
      </c>
      <c r="BI20" s="21">
        <v>7215</v>
      </c>
      <c r="BJ20" s="21"/>
      <c r="BK20" s="21"/>
      <c r="BL20" s="21"/>
      <c r="BM20" s="21"/>
      <c r="BN20" s="21"/>
      <c r="BO20" s="21"/>
      <c r="BP20" s="21">
        <f t="shared" si="0"/>
        <v>220011</v>
      </c>
      <c r="BQ20" s="21">
        <f t="shared" si="1"/>
        <v>275662</v>
      </c>
    </row>
    <row r="21" spans="1:69" x14ac:dyDescent="0.25">
      <c r="A21" s="23" t="s">
        <v>265</v>
      </c>
      <c r="B21" s="21"/>
      <c r="C21" s="21"/>
      <c r="D21" s="21">
        <v>2225</v>
      </c>
      <c r="E21" s="21">
        <v>18073</v>
      </c>
      <c r="F21" s="21">
        <v>9392</v>
      </c>
      <c r="G21" s="21">
        <v>91757</v>
      </c>
      <c r="H21" s="21">
        <v>46411</v>
      </c>
      <c r="I21" s="21">
        <v>161242</v>
      </c>
      <c r="J21" s="21">
        <v>62900</v>
      </c>
      <c r="K21" s="21">
        <v>171908</v>
      </c>
      <c r="L21" s="21">
        <f>L22-L18</f>
        <v>54218</v>
      </c>
      <c r="M21" s="21">
        <f>M22-M18</f>
        <v>158255</v>
      </c>
      <c r="N21" s="21">
        <v>54245</v>
      </c>
      <c r="O21" s="21">
        <v>144375</v>
      </c>
      <c r="P21" s="21">
        <v>7589</v>
      </c>
      <c r="Q21" s="21">
        <v>63967</v>
      </c>
      <c r="R21" s="21">
        <v>3941</v>
      </c>
      <c r="S21" s="21">
        <v>11872</v>
      </c>
      <c r="T21" s="21">
        <f>T22-T18</f>
        <v>4686</v>
      </c>
      <c r="U21" s="21">
        <f>U22-U18</f>
        <v>9731</v>
      </c>
      <c r="V21" s="21">
        <f>V22-V20</f>
        <v>26417</v>
      </c>
      <c r="W21" s="21">
        <f>W22-W20</f>
        <v>77161</v>
      </c>
      <c r="X21" s="21">
        <v>7126</v>
      </c>
      <c r="Y21" s="21">
        <v>46369</v>
      </c>
      <c r="Z21" s="21">
        <v>2573</v>
      </c>
      <c r="AA21" s="21">
        <v>16502</v>
      </c>
      <c r="AB21" s="21">
        <f>AB22-AB18</f>
        <v>96912</v>
      </c>
      <c r="AC21" s="21">
        <f>AC22-AC18</f>
        <v>268335</v>
      </c>
      <c r="AD21" s="21">
        <f>AD22-AD20-AD19</f>
        <v>202796</v>
      </c>
      <c r="AE21" s="21">
        <f>AE22-AE20-AE19-AE18</f>
        <v>1041530</v>
      </c>
      <c r="AF21" s="21">
        <v>25500</v>
      </c>
      <c r="AG21" s="21">
        <v>45500</v>
      </c>
      <c r="AH21" s="21">
        <v>6512</v>
      </c>
      <c r="AI21" s="21">
        <v>7321</v>
      </c>
      <c r="AJ21" s="21">
        <v>14435</v>
      </c>
      <c r="AK21" s="21">
        <v>45307</v>
      </c>
      <c r="AL21" s="21">
        <v>8761</v>
      </c>
      <c r="AM21" s="21">
        <v>33716</v>
      </c>
      <c r="AN21" s="21">
        <v>347358</v>
      </c>
      <c r="AO21" s="21">
        <f>AO22-AO19-AO18</f>
        <v>868338</v>
      </c>
      <c r="AP21" s="21">
        <v>204823</v>
      </c>
      <c r="AQ21" s="21">
        <v>639538</v>
      </c>
      <c r="AR21" s="45">
        <v>-6763</v>
      </c>
      <c r="AS21" s="45">
        <v>35677</v>
      </c>
      <c r="AT21" s="21">
        <f>141+103630</f>
        <v>103771</v>
      </c>
      <c r="AU21" s="21">
        <f>141+113247</f>
        <v>113388</v>
      </c>
      <c r="AV21" s="21">
        <v>56104</v>
      </c>
      <c r="AW21" s="21">
        <v>97339</v>
      </c>
      <c r="AX21" s="21">
        <v>119630</v>
      </c>
      <c r="AY21" s="21">
        <v>272023</v>
      </c>
      <c r="AZ21" s="21">
        <v>16502</v>
      </c>
      <c r="BA21" s="21">
        <v>88213</v>
      </c>
      <c r="BB21" s="21">
        <v>35276</v>
      </c>
      <c r="BC21" s="21">
        <v>104744</v>
      </c>
      <c r="BD21" s="21">
        <v>19105</v>
      </c>
      <c r="BE21" s="21">
        <f>BE22-BE18</f>
        <v>21440</v>
      </c>
      <c r="BF21" s="21">
        <v>50870</v>
      </c>
      <c r="BG21" s="21">
        <v>80209</v>
      </c>
      <c r="BH21" s="21">
        <f>BH22-BH20</f>
        <v>70976</v>
      </c>
      <c r="BI21" s="21">
        <f>BI22-BI20</f>
        <v>243882</v>
      </c>
      <c r="BJ21" s="46">
        <v>65877</v>
      </c>
      <c r="BK21" s="46">
        <v>177578</v>
      </c>
      <c r="BL21" s="21">
        <f>829+192334+3668+-1937</f>
        <v>194894</v>
      </c>
      <c r="BM21" s="21">
        <f>2825+577770+12927+35890</f>
        <v>629412</v>
      </c>
      <c r="BN21" s="21">
        <v>3196</v>
      </c>
      <c r="BO21" s="21">
        <v>66180</v>
      </c>
      <c r="BP21" s="21">
        <f t="shared" si="0"/>
        <v>1918258</v>
      </c>
      <c r="BQ21" s="21">
        <f t="shared" si="1"/>
        <v>5850882</v>
      </c>
    </row>
    <row r="22" spans="1:69" s="15" customFormat="1" x14ac:dyDescent="0.25">
      <c r="A22" s="23" t="s">
        <v>40</v>
      </c>
      <c r="B22" s="24">
        <v>9800</v>
      </c>
      <c r="C22" s="24">
        <v>9800</v>
      </c>
      <c r="D22" s="24">
        <v>2225</v>
      </c>
      <c r="E22" s="24">
        <v>18073</v>
      </c>
      <c r="F22" s="24">
        <v>9392</v>
      </c>
      <c r="G22" s="24">
        <v>91757</v>
      </c>
      <c r="H22" s="24">
        <v>46411</v>
      </c>
      <c r="I22" s="24">
        <v>161242</v>
      </c>
      <c r="J22" s="24">
        <v>67555</v>
      </c>
      <c r="K22" s="24">
        <v>181542</v>
      </c>
      <c r="L22" s="24">
        <v>121718</v>
      </c>
      <c r="M22" s="24">
        <v>225755</v>
      </c>
      <c r="N22" s="24">
        <v>63835</v>
      </c>
      <c r="O22" s="24">
        <v>399978</v>
      </c>
      <c r="P22" s="24">
        <v>7589</v>
      </c>
      <c r="Q22" s="24">
        <v>63967</v>
      </c>
      <c r="R22" s="24">
        <v>3941</v>
      </c>
      <c r="S22" s="24">
        <v>11872</v>
      </c>
      <c r="T22" s="24">
        <v>6185</v>
      </c>
      <c r="U22" s="24">
        <v>11726</v>
      </c>
      <c r="V22" s="24">
        <v>94817</v>
      </c>
      <c r="W22" s="24">
        <v>145561</v>
      </c>
      <c r="X22" s="24">
        <v>179626</v>
      </c>
      <c r="Y22" s="24">
        <v>218869</v>
      </c>
      <c r="Z22" s="24">
        <v>2573</v>
      </c>
      <c r="AA22" s="24">
        <v>16502</v>
      </c>
      <c r="AB22" s="24">
        <v>425761</v>
      </c>
      <c r="AC22" s="24">
        <v>752923</v>
      </c>
      <c r="AD22" s="24">
        <v>223507</v>
      </c>
      <c r="AE22" s="24">
        <v>422572</v>
      </c>
      <c r="AF22" s="24">
        <v>25500</v>
      </c>
      <c r="AG22" s="24">
        <v>45500</v>
      </c>
      <c r="AH22" s="24">
        <v>6512</v>
      </c>
      <c r="AI22" s="24">
        <v>7321</v>
      </c>
      <c r="AJ22" s="24">
        <v>14435</v>
      </c>
      <c r="AK22" s="24">
        <v>98035</v>
      </c>
      <c r="AL22" s="24">
        <v>8761</v>
      </c>
      <c r="AM22" s="24">
        <v>33716</v>
      </c>
      <c r="AN22" s="24">
        <v>382406</v>
      </c>
      <c r="AO22" s="24">
        <v>936285</v>
      </c>
      <c r="AP22" s="24">
        <v>221902</v>
      </c>
      <c r="AQ22" s="24">
        <v>655170</v>
      </c>
      <c r="AR22" s="24">
        <v>155467</v>
      </c>
      <c r="AS22" s="24">
        <v>212475</v>
      </c>
      <c r="AT22" s="24">
        <v>123515</v>
      </c>
      <c r="AU22" s="24">
        <v>164534</v>
      </c>
      <c r="AV22" s="24">
        <v>56104</v>
      </c>
      <c r="AW22" s="24">
        <v>97339</v>
      </c>
      <c r="AX22" s="24">
        <v>155819</v>
      </c>
      <c r="AY22" s="24">
        <v>382010</v>
      </c>
      <c r="AZ22" s="24">
        <v>16502</v>
      </c>
      <c r="BA22" s="24">
        <v>88213</v>
      </c>
      <c r="BB22" s="24">
        <v>35276</v>
      </c>
      <c r="BC22" s="24">
        <v>104744</v>
      </c>
      <c r="BD22" s="24">
        <v>34188</v>
      </c>
      <c r="BE22" s="24">
        <v>50345</v>
      </c>
      <c r="BF22" s="24">
        <v>50870</v>
      </c>
      <c r="BG22" s="24">
        <v>80209</v>
      </c>
      <c r="BH22" s="24">
        <v>71659</v>
      </c>
      <c r="BI22" s="24">
        <v>251097</v>
      </c>
      <c r="BJ22" s="24">
        <v>72561</v>
      </c>
      <c r="BK22" s="24">
        <v>224633</v>
      </c>
      <c r="BL22" s="24">
        <v>194158</v>
      </c>
      <c r="BM22" s="24">
        <v>665273</v>
      </c>
      <c r="BN22" s="24">
        <v>3196</v>
      </c>
      <c r="BO22" s="24">
        <v>66180</v>
      </c>
      <c r="BP22" s="24">
        <f t="shared" si="0"/>
        <v>2893766</v>
      </c>
      <c r="BQ22" s="24">
        <f t="shared" si="1"/>
        <v>6895218</v>
      </c>
    </row>
    <row r="23" spans="1:69" s="15" customFormat="1" x14ac:dyDescent="0.25">
      <c r="A23" s="23" t="s">
        <v>165</v>
      </c>
      <c r="B23" s="24">
        <v>-350903</v>
      </c>
      <c r="C23" s="24">
        <v>-685885</v>
      </c>
      <c r="D23" s="24">
        <v>-527154</v>
      </c>
      <c r="E23" s="24">
        <v>-1893210</v>
      </c>
      <c r="F23" s="24">
        <v>-1868303</v>
      </c>
      <c r="G23" s="24">
        <v>4916769</v>
      </c>
      <c r="H23" s="24">
        <v>-101127</v>
      </c>
      <c r="I23" s="24">
        <v>-1036862</v>
      </c>
      <c r="J23" s="24">
        <v>3209643</v>
      </c>
      <c r="K23" s="24">
        <v>10295592</v>
      </c>
      <c r="L23" s="24">
        <v>-28313</v>
      </c>
      <c r="M23" s="24">
        <v>5111</v>
      </c>
      <c r="N23" s="24">
        <v>773783</v>
      </c>
      <c r="O23" s="24">
        <v>2181176</v>
      </c>
      <c r="P23" s="24">
        <v>-401372</v>
      </c>
      <c r="Q23" s="24">
        <v>-1383683</v>
      </c>
      <c r="R23" s="24">
        <v>-189448</v>
      </c>
      <c r="S23" s="24">
        <v>-292588</v>
      </c>
      <c r="T23" s="24">
        <v>-169626</v>
      </c>
      <c r="U23" s="24">
        <v>-387939</v>
      </c>
      <c r="V23" s="24">
        <v>1909896</v>
      </c>
      <c r="W23" s="24">
        <v>2679232</v>
      </c>
      <c r="X23" s="24">
        <v>282194</v>
      </c>
      <c r="Y23" s="24">
        <v>1084401</v>
      </c>
      <c r="Z23" s="24">
        <v>-526768</v>
      </c>
      <c r="AA23" s="24">
        <v>-1575225</v>
      </c>
      <c r="AB23" s="24">
        <v>1491530</v>
      </c>
      <c r="AC23" s="24">
        <v>4458162</v>
      </c>
      <c r="AD23" s="24">
        <v>3606685</v>
      </c>
      <c r="AE23" s="24">
        <v>12529231</v>
      </c>
      <c r="AF23" s="24">
        <v>1065980</v>
      </c>
      <c r="AG23" s="24">
        <v>2165196</v>
      </c>
      <c r="AH23" s="24">
        <v>-96827</v>
      </c>
      <c r="AI23" s="24">
        <v>-266450</v>
      </c>
      <c r="AJ23" s="24">
        <v>-653410</v>
      </c>
      <c r="AK23" s="24">
        <v>-906123</v>
      </c>
      <c r="AL23" s="24">
        <v>-58583</v>
      </c>
      <c r="AM23" s="24">
        <v>53325</v>
      </c>
      <c r="AN23" s="24">
        <v>-162431</v>
      </c>
      <c r="AO23" s="24">
        <v>-549290</v>
      </c>
      <c r="AP23" s="24">
        <v>-2933449.0250376221</v>
      </c>
      <c r="AQ23" s="24">
        <v>-11775912.651588889</v>
      </c>
      <c r="AR23" s="24">
        <v>-1449406</v>
      </c>
      <c r="AS23" s="24">
        <v>9828932</v>
      </c>
      <c r="AT23" s="24">
        <v>-5043736</v>
      </c>
      <c r="AU23" s="24">
        <v>-6338633</v>
      </c>
      <c r="AV23" s="24">
        <v>-82083</v>
      </c>
      <c r="AW23" s="24">
        <v>-128035</v>
      </c>
      <c r="AX23" s="24">
        <v>340199</v>
      </c>
      <c r="AY23" s="24">
        <v>1473331</v>
      </c>
      <c r="AZ23" s="24">
        <v>439859</v>
      </c>
      <c r="BA23" s="24">
        <v>346749</v>
      </c>
      <c r="BB23" s="24">
        <v>391858</v>
      </c>
      <c r="BC23" s="24">
        <v>1402869</v>
      </c>
      <c r="BD23" s="24">
        <v>1227501</v>
      </c>
      <c r="BE23" s="24">
        <v>3782909</v>
      </c>
      <c r="BF23" s="24">
        <v>1769245</v>
      </c>
      <c r="BG23" s="24">
        <v>4902500</v>
      </c>
      <c r="BH23" s="24">
        <v>-145801</v>
      </c>
      <c r="BI23" s="24">
        <v>-2384668</v>
      </c>
      <c r="BJ23" s="24">
        <v>-583615</v>
      </c>
      <c r="BK23" s="24">
        <v>1330831</v>
      </c>
      <c r="BL23" s="24">
        <v>-6402179</v>
      </c>
      <c r="BM23" s="24">
        <v>-20700628</v>
      </c>
      <c r="BN23" s="24">
        <v>-448451</v>
      </c>
      <c r="BO23" s="24">
        <v>422711</v>
      </c>
      <c r="BP23" s="24">
        <f t="shared" si="0"/>
        <v>-5714612.0250376221</v>
      </c>
      <c r="BQ23" s="24">
        <f t="shared" si="1"/>
        <v>13553895.348411113</v>
      </c>
    </row>
    <row r="24" spans="1:69" x14ac:dyDescent="0.25">
      <c r="A24" s="25" t="s">
        <v>55</v>
      </c>
      <c r="B24" s="21"/>
      <c r="C24" s="21"/>
      <c r="D24" s="21"/>
      <c r="E24" s="21"/>
      <c r="F24" s="21">
        <v>-713705</v>
      </c>
      <c r="G24" s="21">
        <v>1684392</v>
      </c>
      <c r="H24" s="21"/>
      <c r="I24" s="21"/>
      <c r="J24" s="21">
        <v>973372</v>
      </c>
      <c r="K24" s="21">
        <v>3328020</v>
      </c>
      <c r="L24" s="21"/>
      <c r="M24" s="21"/>
      <c r="N24" s="21">
        <v>215123</v>
      </c>
      <c r="O24" s="21">
        <v>658160</v>
      </c>
      <c r="P24" s="21"/>
      <c r="Q24" s="21"/>
      <c r="R24" s="21"/>
      <c r="S24" s="21"/>
      <c r="T24" s="21"/>
      <c r="U24" s="21"/>
      <c r="V24" s="21"/>
      <c r="W24" s="21"/>
      <c r="X24" s="21">
        <v>-33287</v>
      </c>
      <c r="Y24" s="21">
        <v>-124713</v>
      </c>
      <c r="Z24" s="21">
        <v>-3518</v>
      </c>
      <c r="AA24" s="21">
        <v>-2302</v>
      </c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>
        <v>-650</v>
      </c>
      <c r="AW24" s="21">
        <v>-2051</v>
      </c>
      <c r="AX24" s="21"/>
      <c r="AY24" s="21"/>
      <c r="AZ24" s="21"/>
      <c r="BA24" s="21"/>
      <c r="BB24" s="21">
        <v>-133327</v>
      </c>
      <c r="BC24" s="21">
        <v>-471250</v>
      </c>
      <c r="BD24" s="21">
        <v>340000</v>
      </c>
      <c r="BE24" s="21">
        <f>BE23-BE28</f>
        <v>724787</v>
      </c>
      <c r="BF24" s="21">
        <v>561814</v>
      </c>
      <c r="BG24" s="21">
        <v>1567789</v>
      </c>
      <c r="BH24" s="21"/>
      <c r="BI24" s="21"/>
      <c r="BJ24" s="21"/>
      <c r="BK24" s="21"/>
      <c r="BL24" s="21"/>
      <c r="BM24" s="21"/>
      <c r="BN24" s="21"/>
      <c r="BO24" s="21"/>
      <c r="BP24" s="21">
        <f t="shared" si="0"/>
        <v>1205822</v>
      </c>
      <c r="BQ24" s="21">
        <f t="shared" si="1"/>
        <v>7362832</v>
      </c>
    </row>
    <row r="25" spans="1:69" x14ac:dyDescent="0.25">
      <c r="A25" s="25" t="s">
        <v>56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>
        <v>804000</v>
      </c>
      <c r="W25" s="21">
        <v>804000</v>
      </c>
      <c r="X25" s="21"/>
      <c r="Y25" s="21"/>
      <c r="Z25" s="21"/>
      <c r="AA25" s="21"/>
      <c r="AB25" s="21">
        <v>446464</v>
      </c>
      <c r="AC25" s="21">
        <v>1101891</v>
      </c>
      <c r="AD25" s="21">
        <v>1784770</v>
      </c>
      <c r="AE25" s="21">
        <v>5149901</v>
      </c>
      <c r="AF25" s="21">
        <v>357500</v>
      </c>
      <c r="AG25" s="21">
        <v>541000</v>
      </c>
      <c r="AH25" s="21"/>
      <c r="AI25" s="21"/>
      <c r="AJ25" s="21"/>
      <c r="AK25" s="21"/>
      <c r="AL25" s="21">
        <v>-48130</v>
      </c>
      <c r="AM25" s="21">
        <v>197183</v>
      </c>
      <c r="AN25" s="21"/>
      <c r="AO25" s="21"/>
      <c r="AP25" s="21"/>
      <c r="AQ25" s="21"/>
      <c r="AR25" s="21">
        <v>-285994</v>
      </c>
      <c r="AS25" s="21">
        <v>1431866</v>
      </c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>
        <v>-328363</v>
      </c>
      <c r="BK25" s="21">
        <v>294456</v>
      </c>
      <c r="BL25" s="21"/>
      <c r="BM25" s="21"/>
      <c r="BN25" s="21">
        <v>-156707</v>
      </c>
      <c r="BO25" s="21">
        <v>120825</v>
      </c>
      <c r="BP25" s="21">
        <f t="shared" si="0"/>
        <v>2573540</v>
      </c>
      <c r="BQ25" s="21">
        <f t="shared" si="1"/>
        <v>9641122</v>
      </c>
    </row>
    <row r="26" spans="1:69" x14ac:dyDescent="0.25">
      <c r="A26" s="25" t="s">
        <v>57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>
        <v>-55726</v>
      </c>
      <c r="W26" s="21"/>
      <c r="X26" s="21"/>
      <c r="Y26" s="21"/>
      <c r="Z26" s="21"/>
      <c r="AA26" s="21"/>
      <c r="AB26" s="21">
        <v>-113447</v>
      </c>
      <c r="AC26" s="21">
        <v>-100871</v>
      </c>
      <c r="AD26" s="21">
        <v>-569459</v>
      </c>
      <c r="AE26" s="21">
        <v>-835974</v>
      </c>
      <c r="AF26" s="21">
        <v>31000</v>
      </c>
      <c r="AG26" s="21">
        <v>108000</v>
      </c>
      <c r="AH26" s="21"/>
      <c r="AI26" s="21"/>
      <c r="AJ26" s="21"/>
      <c r="AK26" s="21"/>
      <c r="AL26" s="21">
        <v>48130</v>
      </c>
      <c r="AM26" s="21">
        <v>-197183</v>
      </c>
      <c r="AN26" s="21"/>
      <c r="AO26" s="21"/>
      <c r="AP26" s="21"/>
      <c r="AQ26" s="21"/>
      <c r="AR26" s="21">
        <v>-28286</v>
      </c>
      <c r="AS26" s="21">
        <v>-106041</v>
      </c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>
        <v>29816</v>
      </c>
      <c r="BK26" s="21">
        <v>-38192</v>
      </c>
      <c r="BL26" s="21"/>
      <c r="BM26" s="21"/>
      <c r="BN26" s="21">
        <v>-8933</v>
      </c>
      <c r="BO26" s="21">
        <v>24375</v>
      </c>
      <c r="BP26" s="21">
        <f t="shared" si="0"/>
        <v>-666905</v>
      </c>
      <c r="BQ26" s="21">
        <f t="shared" si="1"/>
        <v>-1145886</v>
      </c>
    </row>
    <row r="27" spans="1:69" ht="15" customHeight="1" x14ac:dyDescent="0.25">
      <c r="A27" s="25" t="s">
        <v>58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f>15508-64216</f>
        <v>-48708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>
        <v>2100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4"/>
      <c r="BK27" s="24"/>
      <c r="BL27" s="21"/>
      <c r="BM27" s="21"/>
      <c r="BN27" s="21"/>
      <c r="BO27" s="21"/>
      <c r="BP27" s="21">
        <f t="shared" si="0"/>
        <v>0</v>
      </c>
      <c r="BQ27" s="21">
        <f t="shared" si="1"/>
        <v>-46608</v>
      </c>
    </row>
    <row r="28" spans="1:69" s="15" customFormat="1" x14ac:dyDescent="0.25">
      <c r="A28" s="23" t="s">
        <v>59</v>
      </c>
      <c r="B28" s="24">
        <v>-350903</v>
      </c>
      <c r="C28" s="24">
        <v>-685885</v>
      </c>
      <c r="D28" s="24"/>
      <c r="E28" s="24"/>
      <c r="F28" s="24">
        <v>-1154598</v>
      </c>
      <c r="G28" s="24">
        <v>3232377</v>
      </c>
      <c r="H28" s="24">
        <v>-101127</v>
      </c>
      <c r="I28" s="24">
        <v>-1036862</v>
      </c>
      <c r="J28" s="24">
        <v>2236271</v>
      </c>
      <c r="K28" s="24">
        <v>6967572</v>
      </c>
      <c r="L28" s="24">
        <v>-28313</v>
      </c>
      <c r="M28" s="24">
        <v>5111</v>
      </c>
      <c r="N28" s="24">
        <v>558660</v>
      </c>
      <c r="O28" s="24">
        <v>1523016</v>
      </c>
      <c r="P28" s="24">
        <v>-401372</v>
      </c>
      <c r="Q28" s="24">
        <v>-1383683</v>
      </c>
      <c r="R28" s="24">
        <v>-189448</v>
      </c>
      <c r="S28" s="24">
        <v>-292588</v>
      </c>
      <c r="T28" s="24">
        <v>-169626</v>
      </c>
      <c r="U28" s="24">
        <v>-387939</v>
      </c>
      <c r="V28" s="24">
        <v>1161622</v>
      </c>
      <c r="W28" s="24">
        <v>1923940</v>
      </c>
      <c r="X28" s="24">
        <v>248907</v>
      </c>
      <c r="Y28" s="24">
        <v>959687</v>
      </c>
      <c r="Z28" s="24">
        <v>-523250</v>
      </c>
      <c r="AA28" s="24">
        <v>-1572923</v>
      </c>
      <c r="AB28" s="24">
        <v>1158513</v>
      </c>
      <c r="AC28" s="24">
        <v>3457142</v>
      </c>
      <c r="AD28" s="24">
        <v>2391374</v>
      </c>
      <c r="AE28" s="24">
        <v>8215304</v>
      </c>
      <c r="AF28" s="24">
        <v>677480</v>
      </c>
      <c r="AG28" s="24">
        <v>1514096</v>
      </c>
      <c r="AH28" s="24"/>
      <c r="AI28" s="24"/>
      <c r="AJ28" s="24"/>
      <c r="AK28" s="24"/>
      <c r="AL28" s="24">
        <v>-58583</v>
      </c>
      <c r="AM28" s="24">
        <v>53325</v>
      </c>
      <c r="AN28" s="24">
        <v>-162431</v>
      </c>
      <c r="AO28" s="24">
        <v>-549290</v>
      </c>
      <c r="AP28" s="24">
        <v>-2933449.0250376221</v>
      </c>
      <c r="AQ28" s="24">
        <v>-11775912.651588889</v>
      </c>
      <c r="AR28" s="24">
        <v>-1135125</v>
      </c>
      <c r="AS28" s="24">
        <v>8503107</v>
      </c>
      <c r="AT28" s="24">
        <v>-5043736</v>
      </c>
      <c r="AU28" s="24">
        <v>-6338633</v>
      </c>
      <c r="AV28" s="24">
        <v>-81434</v>
      </c>
      <c r="AW28" s="24">
        <v>-125984</v>
      </c>
      <c r="AX28" s="24">
        <v>340199</v>
      </c>
      <c r="AY28" s="24">
        <v>1473331</v>
      </c>
      <c r="AZ28" s="24">
        <v>439859</v>
      </c>
      <c r="BA28" s="24">
        <v>346749</v>
      </c>
      <c r="BB28" s="24">
        <v>258531</v>
      </c>
      <c r="BC28" s="24">
        <v>931619</v>
      </c>
      <c r="BD28" s="24">
        <v>887501</v>
      </c>
      <c r="BE28" s="24">
        <v>3058122</v>
      </c>
      <c r="BF28" s="24">
        <v>1207430</v>
      </c>
      <c r="BG28" s="24">
        <v>3334712</v>
      </c>
      <c r="BH28" s="24">
        <v>-145801</v>
      </c>
      <c r="BI28" s="24">
        <v>-2384668</v>
      </c>
      <c r="BJ28" s="24">
        <v>-285068</v>
      </c>
      <c r="BK28" s="24">
        <v>1074567</v>
      </c>
      <c r="BL28" s="24">
        <v>-6402179</v>
      </c>
      <c r="BM28" s="24">
        <v>-20700628</v>
      </c>
      <c r="BN28" s="24">
        <v>-282811</v>
      </c>
      <c r="BO28" s="24">
        <v>277511</v>
      </c>
      <c r="BP28" s="24">
        <f t="shared" si="0"/>
        <v>-7882907.0250376221</v>
      </c>
      <c r="BQ28" s="24">
        <f t="shared" si="1"/>
        <v>-383707.65158888698</v>
      </c>
    </row>
    <row r="29" spans="1:69" x14ac:dyDescent="0.25">
      <c r="K29" s="15"/>
    </row>
  </sheetData>
  <mergeCells count="34">
    <mergeCell ref="BP3:BQ3"/>
    <mergeCell ref="BJ3:BK3"/>
    <mergeCell ref="BL3:BM3"/>
    <mergeCell ref="BN3:BO3"/>
    <mergeCell ref="AX3:AY3"/>
    <mergeCell ref="AZ3:BA3"/>
    <mergeCell ref="BB3:BC3"/>
    <mergeCell ref="BD3:BE3"/>
    <mergeCell ref="BF3:BG3"/>
    <mergeCell ref="BH3:BI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  <ignoredErrors>
    <ignoredError sqref="D15:E15 D9:E10 D13:E13 E11:E12 O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3.140625" style="6" customWidth="1"/>
    <col min="2" max="35" width="16" style="4" customWidth="1"/>
    <col min="36" max="16384" width="9.140625" style="4"/>
  </cols>
  <sheetData>
    <row r="1" spans="1:35" ht="37.5" x14ac:dyDescent="0.3">
      <c r="A1" s="28" t="s">
        <v>166</v>
      </c>
    </row>
    <row r="2" spans="1:35" x14ac:dyDescent="0.25">
      <c r="A2" s="6" t="s">
        <v>43</v>
      </c>
    </row>
    <row r="3" spans="1:35" s="22" customFormat="1" x14ac:dyDescent="0.25">
      <c r="A3" s="27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69" t="s">
        <v>10</v>
      </c>
      <c r="L3" s="69" t="s">
        <v>11</v>
      </c>
      <c r="M3" s="69" t="s">
        <v>12</v>
      </c>
      <c r="N3" s="69" t="s">
        <v>13</v>
      </c>
      <c r="O3" s="69" t="s">
        <v>14</v>
      </c>
      <c r="P3" s="69" t="s">
        <v>15</v>
      </c>
      <c r="Q3" s="69" t="s">
        <v>16</v>
      </c>
      <c r="R3" s="69" t="s">
        <v>17</v>
      </c>
      <c r="S3" s="69" t="s">
        <v>18</v>
      </c>
      <c r="T3" s="69" t="s">
        <v>19</v>
      </c>
      <c r="U3" s="69" t="s">
        <v>20</v>
      </c>
      <c r="V3" s="69" t="s">
        <v>21</v>
      </c>
      <c r="W3" s="69" t="s">
        <v>161</v>
      </c>
      <c r="X3" s="69" t="s">
        <v>162</v>
      </c>
      <c r="Y3" s="69" t="s">
        <v>22</v>
      </c>
      <c r="Z3" s="69" t="s">
        <v>23</v>
      </c>
      <c r="AA3" s="69" t="s">
        <v>24</v>
      </c>
      <c r="AB3" s="69" t="s">
        <v>25</v>
      </c>
      <c r="AC3" s="69" t="s">
        <v>26</v>
      </c>
      <c r="AD3" s="69" t="s">
        <v>27</v>
      </c>
      <c r="AE3" s="69" t="s">
        <v>28</v>
      </c>
      <c r="AF3" s="69" t="s">
        <v>29</v>
      </c>
      <c r="AG3" s="69" t="s">
        <v>30</v>
      </c>
      <c r="AH3" s="69" t="s">
        <v>31</v>
      </c>
      <c r="AI3" s="69" t="s">
        <v>304</v>
      </c>
    </row>
    <row r="4" spans="1:35" s="15" customFormat="1" x14ac:dyDescent="0.25">
      <c r="A4" s="23" t="s">
        <v>60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x14ac:dyDescent="0.25">
      <c r="A5" s="25" t="s">
        <v>167</v>
      </c>
      <c r="B5" s="21">
        <v>1860000</v>
      </c>
      <c r="C5" s="21">
        <v>1901973</v>
      </c>
      <c r="D5" s="21">
        <v>2000000</v>
      </c>
      <c r="E5" s="21">
        <v>3580398</v>
      </c>
      <c r="F5" s="21">
        <v>1102273</v>
      </c>
      <c r="G5" s="21">
        <v>16214453</v>
      </c>
      <c r="H5" s="21">
        <v>2988057</v>
      </c>
      <c r="I5" s="21">
        <v>5320395</v>
      </c>
      <c r="J5" s="21">
        <v>1900500</v>
      </c>
      <c r="K5" s="21">
        <v>1700000</v>
      </c>
      <c r="L5" s="21">
        <v>20000000</v>
      </c>
      <c r="M5" s="21">
        <v>8098037</v>
      </c>
      <c r="N5" s="21">
        <v>6195652</v>
      </c>
      <c r="O5" s="21">
        <v>6054221</v>
      </c>
      <c r="P5" s="21">
        <v>4540644</v>
      </c>
      <c r="Q5" s="21">
        <v>2742183</v>
      </c>
      <c r="R5" s="21">
        <v>2200000</v>
      </c>
      <c r="S5" s="21">
        <v>10852250</v>
      </c>
      <c r="T5" s="21">
        <v>1250000</v>
      </c>
      <c r="U5" s="21">
        <v>9410000</v>
      </c>
      <c r="V5" s="21">
        <v>1000000</v>
      </c>
      <c r="W5" s="21">
        <v>8240000</v>
      </c>
      <c r="X5" s="21">
        <v>2000000</v>
      </c>
      <c r="Y5" s="21">
        <v>2070000</v>
      </c>
      <c r="Z5" s="21">
        <v>2515499</v>
      </c>
      <c r="AA5" s="21">
        <v>6879765</v>
      </c>
      <c r="AB5" s="21">
        <v>4490000</v>
      </c>
      <c r="AC5" s="21">
        <v>2155000</v>
      </c>
      <c r="AD5" s="21">
        <v>2590769</v>
      </c>
      <c r="AE5" s="21">
        <v>4555761</v>
      </c>
      <c r="AF5" s="21">
        <v>9075000</v>
      </c>
      <c r="AG5" s="21">
        <v>1500000</v>
      </c>
      <c r="AH5" s="21">
        <v>3681818</v>
      </c>
      <c r="AI5" s="21">
        <f>SUM(B5:AH5)</f>
        <v>160664648</v>
      </c>
    </row>
    <row r="6" spans="1:35" ht="30" x14ac:dyDescent="0.25">
      <c r="A6" s="25" t="s">
        <v>168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>
        <v>24114228</v>
      </c>
      <c r="M6" s="21"/>
      <c r="N6" s="21"/>
      <c r="O6" s="21"/>
      <c r="P6" s="21"/>
      <c r="Q6" s="21"/>
      <c r="R6" s="21"/>
      <c r="S6" s="21"/>
      <c r="T6" s="21"/>
      <c r="U6" s="21">
        <v>280000</v>
      </c>
      <c r="V6" s="21"/>
      <c r="W6" s="21"/>
      <c r="X6" s="21"/>
      <c r="Y6" s="21"/>
      <c r="Z6" s="21"/>
      <c r="AA6" s="21">
        <v>5734</v>
      </c>
      <c r="AB6" s="21"/>
      <c r="AC6" s="21"/>
      <c r="AD6" s="21"/>
      <c r="AE6" s="21">
        <v>3500000</v>
      </c>
      <c r="AF6" s="21"/>
      <c r="AG6" s="21"/>
      <c r="AH6" s="21"/>
      <c r="AI6" s="21">
        <f t="shared" ref="AI6:AI30" si="0">SUM(B6:AH6)</f>
        <v>27899962</v>
      </c>
    </row>
    <row r="7" spans="1:35" x14ac:dyDescent="0.25">
      <c r="A7" s="25" t="s">
        <v>169</v>
      </c>
      <c r="B7" s="21"/>
      <c r="C7" s="21">
        <v>4253027</v>
      </c>
      <c r="D7" s="21">
        <v>36500012</v>
      </c>
      <c r="E7" s="21">
        <v>2605746</v>
      </c>
      <c r="F7" s="21">
        <v>48924334</v>
      </c>
      <c r="G7" s="21">
        <v>1720185</v>
      </c>
      <c r="H7" s="21">
        <v>11280123</v>
      </c>
      <c r="I7" s="21">
        <v>3259275</v>
      </c>
      <c r="J7" s="21"/>
      <c r="K7" s="21"/>
      <c r="L7" s="21"/>
      <c r="M7" s="21"/>
      <c r="N7" s="21">
        <v>404348</v>
      </c>
      <c r="O7" s="21">
        <v>15039133</v>
      </c>
      <c r="P7" s="21">
        <v>46359596</v>
      </c>
      <c r="Q7" s="21">
        <v>19521267</v>
      </c>
      <c r="R7" s="21"/>
      <c r="S7" s="21">
        <v>3491250</v>
      </c>
      <c r="T7" s="45">
        <v>1830000</v>
      </c>
      <c r="U7" s="21"/>
      <c r="V7" s="21">
        <v>5925656</v>
      </c>
      <c r="W7" s="21">
        <v>154098346</v>
      </c>
      <c r="X7" s="21">
        <v>23228263</v>
      </c>
      <c r="Y7" s="21">
        <v>113543</v>
      </c>
      <c r="Z7" s="21">
        <v>12857351</v>
      </c>
      <c r="AA7" s="21">
        <v>63889</v>
      </c>
      <c r="AB7" s="21">
        <v>6686880</v>
      </c>
      <c r="AC7" s="21">
        <v>15846275</v>
      </c>
      <c r="AD7" s="21">
        <v>13980066</v>
      </c>
      <c r="AE7" s="21">
        <v>5745592</v>
      </c>
      <c r="AF7" s="21">
        <v>10898637</v>
      </c>
      <c r="AG7" s="21">
        <v>26021496</v>
      </c>
      <c r="AH7" s="21">
        <v>4096802</v>
      </c>
      <c r="AI7" s="21">
        <f t="shared" si="0"/>
        <v>474751092</v>
      </c>
    </row>
    <row r="8" spans="1:35" x14ac:dyDescent="0.25">
      <c r="A8" s="25" t="s">
        <v>236</v>
      </c>
      <c r="B8" s="21">
        <v>89</v>
      </c>
      <c r="C8" s="21">
        <v>648</v>
      </c>
      <c r="D8" s="21">
        <v>43563</v>
      </c>
      <c r="E8" s="21">
        <v>-3584</v>
      </c>
      <c r="F8" s="21">
        <v>304564</v>
      </c>
      <c r="G8" s="21">
        <v>-52057</v>
      </c>
      <c r="H8" s="21">
        <v>125097</v>
      </c>
      <c r="I8" s="21">
        <v>349</v>
      </c>
      <c r="J8" s="21">
        <v>42</v>
      </c>
      <c r="K8" s="21">
        <v>-4849</v>
      </c>
      <c r="L8" s="21">
        <v>2565018</v>
      </c>
      <c r="M8" s="21">
        <v>-62067</v>
      </c>
      <c r="N8" s="21">
        <v>61</v>
      </c>
      <c r="O8" s="21">
        <v>-369827</v>
      </c>
      <c r="P8" s="21">
        <v>3086855</v>
      </c>
      <c r="Q8" s="21">
        <v>-10049</v>
      </c>
      <c r="R8" s="21">
        <v>261</v>
      </c>
      <c r="S8" s="21">
        <v>1329</v>
      </c>
      <c r="T8" s="21">
        <v>1600</v>
      </c>
      <c r="U8" s="21">
        <v>118</v>
      </c>
      <c r="V8" s="21">
        <v>29494696</v>
      </c>
      <c r="W8" s="21">
        <v>225547375</v>
      </c>
      <c r="X8" s="21">
        <v>79097934</v>
      </c>
      <c r="Y8" s="21">
        <f>488+607</f>
        <v>1095</v>
      </c>
      <c r="Z8" s="21">
        <v>-379444</v>
      </c>
      <c r="AA8" s="21">
        <v>-15229</v>
      </c>
      <c r="AB8" s="21">
        <f>-42635-159114</f>
        <v>-201749</v>
      </c>
      <c r="AC8" s="21">
        <v>-154711</v>
      </c>
      <c r="AD8" s="21">
        <v>-64361</v>
      </c>
      <c r="AE8" s="21">
        <v>409</v>
      </c>
      <c r="AF8" s="21">
        <v>-196407</v>
      </c>
      <c r="AG8" s="21">
        <f>32324668+4783205</f>
        <v>37107873</v>
      </c>
      <c r="AH8" s="21">
        <f>-3568-724</f>
        <v>-4292</v>
      </c>
      <c r="AI8" s="21">
        <f t="shared" si="0"/>
        <v>375860350</v>
      </c>
    </row>
    <row r="9" spans="1:35" x14ac:dyDescent="0.25">
      <c r="A9" s="25" t="s">
        <v>170</v>
      </c>
      <c r="B9" s="21"/>
      <c r="C9" s="30"/>
      <c r="D9" s="21"/>
      <c r="E9" s="21">
        <v>1540000</v>
      </c>
      <c r="F9" s="21"/>
      <c r="G9" s="21">
        <v>2200000</v>
      </c>
      <c r="H9" s="21">
        <v>1000000</v>
      </c>
      <c r="I9" s="21">
        <v>430000</v>
      </c>
      <c r="J9" s="21"/>
      <c r="K9" s="21"/>
      <c r="L9" s="21"/>
      <c r="M9" s="21"/>
      <c r="N9" s="21"/>
      <c r="O9" s="21">
        <v>3500000</v>
      </c>
      <c r="P9" s="21">
        <v>4850000</v>
      </c>
      <c r="Q9" s="21"/>
      <c r="R9" s="21"/>
      <c r="S9" s="21"/>
      <c r="T9" s="21">
        <v>2495</v>
      </c>
      <c r="U9" s="21"/>
      <c r="V9" s="21">
        <v>8950000</v>
      </c>
      <c r="W9" s="21"/>
      <c r="X9" s="21"/>
      <c r="Y9" s="21"/>
      <c r="Z9" s="21">
        <v>2300000</v>
      </c>
      <c r="AA9" s="21"/>
      <c r="AB9" s="21">
        <v>1000000</v>
      </c>
      <c r="AC9" s="21"/>
      <c r="AD9" s="21"/>
      <c r="AE9" s="21">
        <v>2500000</v>
      </c>
      <c r="AF9" s="21">
        <v>1780000</v>
      </c>
      <c r="AG9" s="21">
        <v>9000000</v>
      </c>
      <c r="AH9" s="21"/>
      <c r="AI9" s="21">
        <f t="shared" si="0"/>
        <v>39052495</v>
      </c>
    </row>
    <row r="10" spans="1:35" x14ac:dyDescent="0.25">
      <c r="A10" s="25" t="s">
        <v>255</v>
      </c>
      <c r="B10" s="21"/>
      <c r="C10" s="30"/>
      <c r="D10" s="21">
        <v>56958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>
        <v>13849</v>
      </c>
      <c r="AI10" s="21">
        <f t="shared" si="0"/>
        <v>70807</v>
      </c>
    </row>
    <row r="11" spans="1:35" x14ac:dyDescent="0.25">
      <c r="A11" s="25" t="s">
        <v>187</v>
      </c>
      <c r="B11" s="21"/>
      <c r="C11" s="3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>
        <v>522</v>
      </c>
      <c r="AE11" s="21"/>
      <c r="AF11" s="21"/>
      <c r="AG11" s="21"/>
      <c r="AH11" s="21"/>
      <c r="AI11" s="21">
        <f t="shared" si="0"/>
        <v>522</v>
      </c>
    </row>
    <row r="12" spans="1:35" s="15" customFormat="1" x14ac:dyDescent="0.25">
      <c r="A12" s="23" t="s">
        <v>61</v>
      </c>
      <c r="B12" s="24">
        <v>1860089</v>
      </c>
      <c r="C12" s="24">
        <v>6155648</v>
      </c>
      <c r="D12" s="24">
        <v>38600533</v>
      </c>
      <c r="E12" s="24">
        <v>7722560</v>
      </c>
      <c r="F12" s="24">
        <v>50331171</v>
      </c>
      <c r="G12" s="24">
        <v>20082581</v>
      </c>
      <c r="H12" s="24">
        <v>15393277</v>
      </c>
      <c r="I12" s="24">
        <v>9010019</v>
      </c>
      <c r="J12" s="24">
        <v>1900542</v>
      </c>
      <c r="K12" s="24">
        <v>1695151</v>
      </c>
      <c r="L12" s="24">
        <v>46679246</v>
      </c>
      <c r="M12" s="24">
        <v>8035971</v>
      </c>
      <c r="N12" s="24">
        <v>6600061</v>
      </c>
      <c r="O12" s="24">
        <v>24223527</v>
      </c>
      <c r="P12" s="24">
        <v>58837095</v>
      </c>
      <c r="Q12" s="24">
        <v>22253401</v>
      </c>
      <c r="R12" s="24">
        <v>2200261</v>
      </c>
      <c r="S12" s="24">
        <v>14344829</v>
      </c>
      <c r="T12" s="24">
        <v>3084095</v>
      </c>
      <c r="U12" s="24">
        <v>9690118</v>
      </c>
      <c r="V12" s="24">
        <v>45370352</v>
      </c>
      <c r="W12" s="24">
        <v>387885721</v>
      </c>
      <c r="X12" s="24">
        <v>104326197</v>
      </c>
      <c r="Y12" s="24">
        <v>2184638</v>
      </c>
      <c r="Z12" s="24">
        <v>17293406</v>
      </c>
      <c r="AA12" s="24">
        <v>6934159</v>
      </c>
      <c r="AB12" s="24">
        <v>11975131</v>
      </c>
      <c r="AC12" s="24">
        <v>17846564</v>
      </c>
      <c r="AD12" s="24">
        <v>16506996</v>
      </c>
      <c r="AE12" s="24">
        <v>16301762</v>
      </c>
      <c r="AF12" s="24">
        <v>21557230</v>
      </c>
      <c r="AG12" s="24">
        <v>73629369</v>
      </c>
      <c r="AH12" s="24">
        <v>7788177</v>
      </c>
      <c r="AI12" s="24">
        <f t="shared" si="0"/>
        <v>1078299877</v>
      </c>
    </row>
    <row r="13" spans="1:35" s="15" customFormat="1" x14ac:dyDescent="0.25">
      <c r="A13" s="23" t="s">
        <v>62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1"/>
    </row>
    <row r="14" spans="1:35" x14ac:dyDescent="0.25">
      <c r="A14" s="25" t="s">
        <v>171</v>
      </c>
      <c r="B14" s="21"/>
      <c r="C14" s="21">
        <v>1341257</v>
      </c>
      <c r="D14" s="21"/>
      <c r="E14" s="21">
        <v>1251559</v>
      </c>
      <c r="F14" s="21"/>
      <c r="G14" s="21">
        <v>5504544</v>
      </c>
      <c r="H14" s="21">
        <v>7797988</v>
      </c>
      <c r="I14" s="21"/>
      <c r="J14" s="21">
        <v>600447</v>
      </c>
      <c r="K14" s="21">
        <v>1269026</v>
      </c>
      <c r="L14" s="21"/>
      <c r="M14" s="21"/>
      <c r="N14" s="21">
        <v>5177975</v>
      </c>
      <c r="O14" s="21">
        <v>23750539</v>
      </c>
      <c r="P14" s="21"/>
      <c r="Q14" s="21">
        <v>19988717</v>
      </c>
      <c r="R14" s="21">
        <v>968494</v>
      </c>
      <c r="S14" s="21">
        <v>5341306</v>
      </c>
      <c r="T14" s="21">
        <v>2179079</v>
      </c>
      <c r="U14" s="21"/>
      <c r="V14" s="21">
        <v>20284391.583709426</v>
      </c>
      <c r="W14" s="21"/>
      <c r="X14" s="21"/>
      <c r="Y14" s="21">
        <v>1774244</v>
      </c>
      <c r="Z14" s="21">
        <v>12271577</v>
      </c>
      <c r="AA14" s="21"/>
      <c r="AB14" s="21">
        <v>10616777</v>
      </c>
      <c r="AC14" s="21">
        <v>16423815</v>
      </c>
      <c r="AD14" s="21"/>
      <c r="AE14" s="21"/>
      <c r="AF14" s="45">
        <v>22442343</v>
      </c>
      <c r="AG14" s="21"/>
      <c r="AH14" s="21">
        <v>5132598</v>
      </c>
      <c r="AI14" s="21">
        <f t="shared" si="0"/>
        <v>164116676.58370942</v>
      </c>
    </row>
    <row r="15" spans="1:35" x14ac:dyDescent="0.25">
      <c r="A15" s="25" t="s">
        <v>172</v>
      </c>
      <c r="B15" s="21"/>
      <c r="C15" s="21">
        <v>2756119</v>
      </c>
      <c r="D15" s="21"/>
      <c r="E15" s="21">
        <v>11277015</v>
      </c>
      <c r="F15" s="21"/>
      <c r="G15" s="21">
        <v>34011524</v>
      </c>
      <c r="H15" s="21">
        <v>64352898</v>
      </c>
      <c r="I15" s="21"/>
      <c r="J15" s="21">
        <v>1530116</v>
      </c>
      <c r="K15" s="21">
        <v>167281</v>
      </c>
      <c r="L15" s="21"/>
      <c r="M15" s="21"/>
      <c r="N15" s="21">
        <v>5090608</v>
      </c>
      <c r="O15" s="21">
        <v>68293089</v>
      </c>
      <c r="P15" s="21"/>
      <c r="Q15" s="21">
        <v>65370681</v>
      </c>
      <c r="R15" s="21">
        <v>2787405</v>
      </c>
      <c r="S15" s="21">
        <v>11148954</v>
      </c>
      <c r="T15" s="21">
        <v>11512071</v>
      </c>
      <c r="U15" s="21"/>
      <c r="V15" s="21">
        <v>220777645.09806329</v>
      </c>
      <c r="W15" s="21"/>
      <c r="X15" s="21"/>
      <c r="Y15" s="21">
        <v>2208849</v>
      </c>
      <c r="Z15" s="21">
        <v>86121472</v>
      </c>
      <c r="AA15" s="21"/>
      <c r="AB15" s="21">
        <v>39621347</v>
      </c>
      <c r="AC15" s="21">
        <v>42614800</v>
      </c>
      <c r="AD15" s="21"/>
      <c r="AE15" s="21"/>
      <c r="AF15" s="21">
        <v>73587696</v>
      </c>
      <c r="AG15" s="21"/>
      <c r="AH15" s="21">
        <v>25309329</v>
      </c>
      <c r="AI15" s="21">
        <f t="shared" si="0"/>
        <v>768538899.09806323</v>
      </c>
    </row>
    <row r="16" spans="1:35" s="5" customFormat="1" x14ac:dyDescent="0.25">
      <c r="A16" s="31" t="s">
        <v>180</v>
      </c>
      <c r="B16" s="30">
        <v>1803043</v>
      </c>
      <c r="C16" s="30">
        <v>4097376</v>
      </c>
      <c r="D16" s="30">
        <v>75282839</v>
      </c>
      <c r="E16" s="30">
        <f>E14+E15</f>
        <v>12528574</v>
      </c>
      <c r="F16" s="30">
        <v>159484077</v>
      </c>
      <c r="G16" s="30">
        <f t="shared" ref="G16:H16" si="1">G14+G15</f>
        <v>39516068</v>
      </c>
      <c r="H16" s="30">
        <f t="shared" si="1"/>
        <v>72150886</v>
      </c>
      <c r="I16" s="30">
        <v>5118587</v>
      </c>
      <c r="J16" s="30">
        <f t="shared" ref="J16:K16" si="2">J14+J15</f>
        <v>2130563</v>
      </c>
      <c r="K16" s="30">
        <f t="shared" si="2"/>
        <v>1436307</v>
      </c>
      <c r="L16" s="30">
        <v>100123711</v>
      </c>
      <c r="M16" s="30">
        <v>34988464</v>
      </c>
      <c r="N16" s="30">
        <f t="shared" ref="N16:O16" si="3">N14+N15</f>
        <v>10268583</v>
      </c>
      <c r="O16" s="30">
        <f t="shared" si="3"/>
        <v>92043628</v>
      </c>
      <c r="P16" s="30">
        <v>204454527</v>
      </c>
      <c r="Q16" s="30">
        <f t="shared" ref="Q16:S16" si="4">Q14+Q15</f>
        <v>85359398</v>
      </c>
      <c r="R16" s="30">
        <f t="shared" si="4"/>
        <v>3755899</v>
      </c>
      <c r="S16" s="30">
        <f t="shared" si="4"/>
        <v>16490260</v>
      </c>
      <c r="T16" s="30">
        <v>13691150</v>
      </c>
      <c r="U16" s="30">
        <v>4589333</v>
      </c>
      <c r="V16" s="30"/>
      <c r="W16" s="30">
        <v>581075878</v>
      </c>
      <c r="X16" s="30">
        <v>242356502</v>
      </c>
      <c r="Y16" s="30">
        <f t="shared" ref="Y16" si="5">Y14+Y15</f>
        <v>3983093</v>
      </c>
      <c r="Z16" s="30">
        <f t="shared" ref="Z16" si="6">Z14+Z15</f>
        <v>98393049</v>
      </c>
      <c r="AA16" s="30">
        <v>14094984</v>
      </c>
      <c r="AB16" s="30">
        <f t="shared" ref="AB16" si="7">AB14+AB15</f>
        <v>50238124</v>
      </c>
      <c r="AC16" s="30">
        <f t="shared" ref="AC16" si="8">AC14+AC15</f>
        <v>59038615</v>
      </c>
      <c r="AD16" s="30">
        <v>86319691</v>
      </c>
      <c r="AE16" s="30">
        <v>25677073</v>
      </c>
      <c r="AF16" s="30">
        <f t="shared" ref="AF16" si="9">AF14+AF15</f>
        <v>96030039</v>
      </c>
      <c r="AG16" s="30">
        <v>308815409</v>
      </c>
      <c r="AH16" s="30">
        <f t="shared" ref="AH16" si="10">AH14+AH15</f>
        <v>30441927</v>
      </c>
      <c r="AI16" s="30">
        <f t="shared" si="0"/>
        <v>2535777657</v>
      </c>
    </row>
    <row r="17" spans="1:35" x14ac:dyDescent="0.25">
      <c r="A17" s="25" t="s">
        <v>173</v>
      </c>
      <c r="B17" s="21"/>
      <c r="C17" s="21"/>
      <c r="D17" s="21">
        <v>111036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>
        <v>59840</v>
      </c>
      <c r="U17" s="21"/>
      <c r="V17" s="21">
        <v>1974931</v>
      </c>
      <c r="W17" s="21">
        <v>2856522</v>
      </c>
      <c r="X17" s="21">
        <v>1468793</v>
      </c>
      <c r="Y17" s="21"/>
      <c r="Z17" s="21"/>
      <c r="AA17" s="21"/>
      <c r="AB17" s="21"/>
      <c r="AC17" s="21"/>
      <c r="AD17" s="21"/>
      <c r="AE17" s="21"/>
      <c r="AF17" s="21"/>
      <c r="AG17" s="21">
        <v>2856426</v>
      </c>
      <c r="AH17" s="21"/>
      <c r="AI17" s="21">
        <f t="shared" si="0"/>
        <v>9327548</v>
      </c>
    </row>
    <row r="18" spans="1:35" x14ac:dyDescent="0.25">
      <c r="A18" s="25" t="s">
        <v>174</v>
      </c>
      <c r="B18" s="21">
        <v>15888</v>
      </c>
      <c r="C18" s="21">
        <v>591634</v>
      </c>
      <c r="D18" s="45">
        <v>2866806</v>
      </c>
      <c r="E18" s="21">
        <v>389344</v>
      </c>
      <c r="F18" s="21">
        <v>3279807</v>
      </c>
      <c r="G18" s="21">
        <v>201812</v>
      </c>
      <c r="H18" s="21">
        <v>684355</v>
      </c>
      <c r="I18" s="21">
        <v>73642</v>
      </c>
      <c r="J18" s="21">
        <v>913572</v>
      </c>
      <c r="K18" s="21">
        <v>103166</v>
      </c>
      <c r="L18" s="21">
        <v>2671745</v>
      </c>
      <c r="M18" s="21">
        <v>158219</v>
      </c>
      <c r="N18" s="21">
        <v>99003</v>
      </c>
      <c r="O18" s="21">
        <v>2121780</v>
      </c>
      <c r="P18" s="21">
        <v>4285657</v>
      </c>
      <c r="Q18" s="21">
        <v>449626</v>
      </c>
      <c r="R18" s="21">
        <v>68090</v>
      </c>
      <c r="S18" s="21">
        <v>292909</v>
      </c>
      <c r="T18" s="21">
        <v>216152</v>
      </c>
      <c r="U18" s="21">
        <v>329671</v>
      </c>
      <c r="V18" s="21">
        <v>3349147.9770386498</v>
      </c>
      <c r="W18" s="45">
        <v>5113346</v>
      </c>
      <c r="X18" s="21">
        <v>5902939</v>
      </c>
      <c r="Y18" s="21">
        <v>22148</v>
      </c>
      <c r="Z18" s="21">
        <v>342534</v>
      </c>
      <c r="AA18" s="21">
        <v>469421</v>
      </c>
      <c r="AB18" s="21">
        <v>293539</v>
      </c>
      <c r="AC18" s="21">
        <v>806800</v>
      </c>
      <c r="AD18" s="21">
        <v>487293</v>
      </c>
      <c r="AE18" s="21">
        <v>985342</v>
      </c>
      <c r="AF18" s="21">
        <v>1806654</v>
      </c>
      <c r="AG18" s="21">
        <v>2236797</v>
      </c>
      <c r="AH18" s="21">
        <v>391982</v>
      </c>
      <c r="AI18" s="21">
        <f t="shared" si="0"/>
        <v>42020820.977038652</v>
      </c>
    </row>
    <row r="19" spans="1:35" x14ac:dyDescent="0.25">
      <c r="A19" s="25" t="s">
        <v>175</v>
      </c>
      <c r="B19" s="21"/>
      <c r="C19" s="21"/>
      <c r="D19" s="21"/>
      <c r="E19" s="21">
        <v>149806</v>
      </c>
      <c r="F19" s="21">
        <v>492206</v>
      </c>
      <c r="G19" s="21"/>
      <c r="H19" s="21">
        <v>1003217</v>
      </c>
      <c r="I19" s="21"/>
      <c r="J19" s="21"/>
      <c r="K19" s="21"/>
      <c r="L19" s="21">
        <v>219282</v>
      </c>
      <c r="M19" s="21">
        <v>150398</v>
      </c>
      <c r="N19" s="21"/>
      <c r="O19" s="21">
        <v>64545</v>
      </c>
      <c r="P19" s="21">
        <v>2950102</v>
      </c>
      <c r="Q19" s="21">
        <v>197200</v>
      </c>
      <c r="R19" s="21"/>
      <c r="S19" s="21"/>
      <c r="T19" s="21">
        <v>296665</v>
      </c>
      <c r="U19" s="21"/>
      <c r="V19" s="21"/>
      <c r="W19" s="21">
        <v>2259472</v>
      </c>
      <c r="X19" s="21"/>
      <c r="Y19" s="21">
        <v>14484</v>
      </c>
      <c r="Z19" s="21">
        <v>372735</v>
      </c>
      <c r="AA19" s="21"/>
      <c r="AB19" s="21">
        <v>261024</v>
      </c>
      <c r="AC19" s="21">
        <v>365822</v>
      </c>
      <c r="AD19" s="21">
        <v>165115</v>
      </c>
      <c r="AE19" s="21"/>
      <c r="AF19" s="45">
        <v>367994</v>
      </c>
      <c r="AG19" s="21"/>
      <c r="AH19" s="21"/>
      <c r="AI19" s="21">
        <f t="shared" si="0"/>
        <v>9330067</v>
      </c>
    </row>
    <row r="20" spans="1:35" s="5" customFormat="1" x14ac:dyDescent="0.25">
      <c r="A20" s="31" t="s">
        <v>176</v>
      </c>
      <c r="B20" s="30"/>
      <c r="C20" s="30"/>
      <c r="D20" s="2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21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1"/>
    </row>
    <row r="21" spans="1:35" x14ac:dyDescent="0.25">
      <c r="A21" s="25" t="s">
        <v>63</v>
      </c>
      <c r="B21" s="21">
        <v>44475</v>
      </c>
      <c r="C21" s="45">
        <v>49390</v>
      </c>
      <c r="D21" s="21">
        <v>41299017</v>
      </c>
      <c r="E21" s="21">
        <v>1942825</v>
      </c>
      <c r="F21" s="45">
        <v>3311379</v>
      </c>
      <c r="G21" s="21">
        <v>517184</v>
      </c>
      <c r="H21" s="45">
        <v>429265</v>
      </c>
      <c r="I21" s="21">
        <v>97451</v>
      </c>
      <c r="J21" s="21">
        <v>19061</v>
      </c>
      <c r="K21" s="21">
        <v>20025</v>
      </c>
      <c r="L21" s="45">
        <v>6452356</v>
      </c>
      <c r="M21" s="21">
        <v>237083</v>
      </c>
      <c r="N21" s="21">
        <v>398824</v>
      </c>
      <c r="O21" s="21">
        <v>2374638</v>
      </c>
      <c r="P21" s="21">
        <v>2799551</v>
      </c>
      <c r="Q21" s="21">
        <v>1097881</v>
      </c>
      <c r="R21" s="21">
        <v>88823</v>
      </c>
      <c r="S21" s="45">
        <v>322284</v>
      </c>
      <c r="T21" s="21">
        <v>240651</v>
      </c>
      <c r="U21" s="21">
        <v>108455</v>
      </c>
      <c r="V21" s="21">
        <v>7012161</v>
      </c>
      <c r="W21" s="21">
        <v>102465491</v>
      </c>
      <c r="X21" s="21">
        <v>20534280</v>
      </c>
      <c r="Y21" s="21">
        <v>11239</v>
      </c>
      <c r="Z21" s="21">
        <v>2140954</v>
      </c>
      <c r="AA21" s="21">
        <v>331939</v>
      </c>
      <c r="AB21" s="21">
        <v>625155</v>
      </c>
      <c r="AC21" s="21">
        <v>151896</v>
      </c>
      <c r="AD21" s="21">
        <v>274429</v>
      </c>
      <c r="AE21" s="21">
        <v>5193488</v>
      </c>
      <c r="AF21" s="45">
        <v>928051</v>
      </c>
      <c r="AG21" s="21">
        <v>8188770</v>
      </c>
      <c r="AH21" s="21">
        <v>1184590</v>
      </c>
      <c r="AI21" s="21">
        <f t="shared" si="0"/>
        <v>210893061</v>
      </c>
    </row>
    <row r="22" spans="1:35" x14ac:dyDescent="0.25">
      <c r="A22" s="25" t="s">
        <v>64</v>
      </c>
      <c r="B22" s="21">
        <v>302894</v>
      </c>
      <c r="C22" s="21">
        <v>409228</v>
      </c>
      <c r="D22" s="45">
        <v>28340148</v>
      </c>
      <c r="E22" s="21">
        <v>1459891</v>
      </c>
      <c r="F22" s="21">
        <v>19565296</v>
      </c>
      <c r="G22" s="45">
        <v>5422242</v>
      </c>
      <c r="H22" s="21">
        <v>11852265</v>
      </c>
      <c r="I22" s="21">
        <v>437084</v>
      </c>
      <c r="J22" s="21">
        <v>251081</v>
      </c>
      <c r="K22" s="21">
        <v>298219</v>
      </c>
      <c r="L22" s="21">
        <v>7247850</v>
      </c>
      <c r="M22" s="21">
        <v>5763822</v>
      </c>
      <c r="N22" s="21">
        <v>1000834</v>
      </c>
      <c r="O22" s="45">
        <v>18340657</v>
      </c>
      <c r="P22" s="21">
        <v>107080300</v>
      </c>
      <c r="Q22" s="21">
        <v>14644185</v>
      </c>
      <c r="R22" s="21">
        <v>343370</v>
      </c>
      <c r="S22" s="21">
        <v>1666208</v>
      </c>
      <c r="T22" s="21">
        <v>1286348</v>
      </c>
      <c r="U22" s="21">
        <v>1077291</v>
      </c>
      <c r="V22" s="21">
        <v>73286024</v>
      </c>
      <c r="W22" s="45">
        <v>77480562</v>
      </c>
      <c r="X22" s="21">
        <v>57815866</v>
      </c>
      <c r="Y22" s="21">
        <v>286495</v>
      </c>
      <c r="Z22" s="21">
        <v>10646251</v>
      </c>
      <c r="AA22" s="21">
        <v>1058695</v>
      </c>
      <c r="AB22" s="21">
        <v>6268517</v>
      </c>
      <c r="AC22" s="21">
        <v>7972532</v>
      </c>
      <c r="AD22" s="21">
        <v>4720089</v>
      </c>
      <c r="AE22" s="45">
        <v>6197093</v>
      </c>
      <c r="AF22" s="21">
        <v>18689029</v>
      </c>
      <c r="AG22" s="21">
        <v>46319769</v>
      </c>
      <c r="AH22" s="21">
        <v>12970237</v>
      </c>
      <c r="AI22" s="21">
        <f t="shared" si="0"/>
        <v>550500372</v>
      </c>
    </row>
    <row r="23" spans="1:35" s="5" customFormat="1" x14ac:dyDescent="0.25">
      <c r="A23" s="31" t="s">
        <v>65</v>
      </c>
      <c r="B23" s="30">
        <v>347369</v>
      </c>
      <c r="C23" s="30">
        <v>458618</v>
      </c>
      <c r="D23" s="30">
        <v>69639165</v>
      </c>
      <c r="E23" s="30">
        <v>3402716</v>
      </c>
      <c r="F23" s="30">
        <v>22876675</v>
      </c>
      <c r="G23" s="30">
        <v>5939426</v>
      </c>
      <c r="H23" s="30">
        <v>12281530</v>
      </c>
      <c r="I23" s="30">
        <v>534535</v>
      </c>
      <c r="J23" s="30">
        <v>270142</v>
      </c>
      <c r="K23" s="30">
        <v>318244</v>
      </c>
      <c r="L23" s="30">
        <v>13700206</v>
      </c>
      <c r="M23" s="30">
        <v>6000904</v>
      </c>
      <c r="N23" s="30">
        <v>1399657</v>
      </c>
      <c r="O23" s="30">
        <v>20715295</v>
      </c>
      <c r="P23" s="30">
        <v>109879851</v>
      </c>
      <c r="Q23" s="30">
        <v>15742066</v>
      </c>
      <c r="R23" s="30">
        <v>432193</v>
      </c>
      <c r="S23" s="30">
        <v>1988492</v>
      </c>
      <c r="T23" s="30">
        <v>1526999</v>
      </c>
      <c r="U23" s="30">
        <v>1185746</v>
      </c>
      <c r="V23" s="30">
        <v>80298185</v>
      </c>
      <c r="W23" s="30">
        <v>179946053</v>
      </c>
      <c r="X23" s="30">
        <v>78350146</v>
      </c>
      <c r="Y23" s="30">
        <v>297734</v>
      </c>
      <c r="Z23" s="30">
        <v>12787205</v>
      </c>
      <c r="AA23" s="30">
        <v>1390635</v>
      </c>
      <c r="AB23" s="30">
        <v>6893672</v>
      </c>
      <c r="AC23" s="30">
        <v>8124428</v>
      </c>
      <c r="AD23" s="30">
        <v>4994519</v>
      </c>
      <c r="AE23" s="30">
        <v>11390581</v>
      </c>
      <c r="AF23" s="30">
        <v>19617080</v>
      </c>
      <c r="AG23" s="30">
        <v>54508539</v>
      </c>
      <c r="AH23" s="30">
        <v>14154827</v>
      </c>
      <c r="AI23" s="30">
        <f t="shared" si="0"/>
        <v>761393433</v>
      </c>
    </row>
    <row r="24" spans="1:35" x14ac:dyDescent="0.25">
      <c r="A24" s="25" t="s">
        <v>177</v>
      </c>
      <c r="B24" s="21">
        <v>775394</v>
      </c>
      <c r="C24" s="45">
        <v>1938806</v>
      </c>
      <c r="D24" s="21">
        <v>100574815</v>
      </c>
      <c r="E24" s="21">
        <v>4564232</v>
      </c>
      <c r="F24" s="21">
        <v>94017049</v>
      </c>
      <c r="G24" s="21">
        <v>31179555</v>
      </c>
      <c r="H24" s="21">
        <v>50305221</v>
      </c>
      <c r="I24" s="21">
        <v>1713039</v>
      </c>
      <c r="J24" s="21">
        <v>600449</v>
      </c>
      <c r="K24" s="21">
        <v>470232</v>
      </c>
      <c r="L24" s="21">
        <v>63888167</v>
      </c>
      <c r="M24" s="21">
        <v>24810183</v>
      </c>
      <c r="N24" s="21">
        <v>3913150</v>
      </c>
      <c r="O24" s="21">
        <v>64122006</v>
      </c>
      <c r="P24" s="21">
        <v>209011680</v>
      </c>
      <c r="Q24" s="21">
        <v>60829315</v>
      </c>
      <c r="R24" s="21">
        <v>1656729</v>
      </c>
      <c r="S24" s="21">
        <v>8087786</v>
      </c>
      <c r="T24" s="21">
        <v>9595268</v>
      </c>
      <c r="U24" s="21">
        <v>3123564</v>
      </c>
      <c r="V24" s="21">
        <v>228862377</v>
      </c>
      <c r="W24" s="21">
        <v>272655934</v>
      </c>
      <c r="X24" s="21">
        <v>159102030</v>
      </c>
      <c r="Y24" s="21">
        <v>1570513</v>
      </c>
      <c r="Z24" s="21">
        <v>77438987</v>
      </c>
      <c r="AA24" s="21">
        <v>6292535</v>
      </c>
      <c r="AB24" s="21">
        <v>34388099</v>
      </c>
      <c r="AC24" s="21">
        <v>34855782</v>
      </c>
      <c r="AD24" s="21">
        <v>64332018</v>
      </c>
      <c r="AE24" s="21">
        <v>6036776</v>
      </c>
      <c r="AF24" s="21">
        <v>70152780</v>
      </c>
      <c r="AG24" s="21">
        <v>218095462</v>
      </c>
      <c r="AH24" s="21">
        <v>31851914</v>
      </c>
      <c r="AI24" s="21">
        <f t="shared" si="0"/>
        <v>1940811847</v>
      </c>
    </row>
    <row r="25" spans="1:35" x14ac:dyDescent="0.25">
      <c r="A25" s="25" t="s">
        <v>178</v>
      </c>
      <c r="B25" s="21">
        <v>336374</v>
      </c>
      <c r="C25" s="21">
        <v>1857342</v>
      </c>
      <c r="D25" s="45">
        <v>8724497</v>
      </c>
      <c r="E25" s="21">
        <v>7166675</v>
      </c>
      <c r="F25" s="21">
        <v>41784545</v>
      </c>
      <c r="G25" s="21">
        <v>7146960</v>
      </c>
      <c r="H25" s="21">
        <v>20421489</v>
      </c>
      <c r="I25" s="21">
        <v>2273633</v>
      </c>
      <c r="J25" s="21">
        <v>1337552</v>
      </c>
      <c r="K25" s="21">
        <v>375788</v>
      </c>
      <c r="L25" s="21">
        <v>6147531</v>
      </c>
      <c r="M25" s="21">
        <v>8881639</v>
      </c>
      <c r="N25" s="21">
        <v>3590486</v>
      </c>
      <c r="O25" s="21">
        <v>26599715</v>
      </c>
      <c r="P25" s="21">
        <v>53721362</v>
      </c>
      <c r="Q25" s="21">
        <v>18665574</v>
      </c>
      <c r="R25" s="21">
        <v>1438337</v>
      </c>
      <c r="S25" s="21">
        <v>5379621</v>
      </c>
      <c r="T25" s="21">
        <v>3333511</v>
      </c>
      <c r="U25" s="21">
        <v>3426494</v>
      </c>
      <c r="V25" s="21">
        <v>52451572</v>
      </c>
      <c r="W25" s="21">
        <v>112777957</v>
      </c>
      <c r="X25" s="21">
        <v>64650155</v>
      </c>
      <c r="Y25" s="21">
        <v>562308</v>
      </c>
      <c r="Z25" s="21">
        <v>17163130</v>
      </c>
      <c r="AA25" s="21">
        <v>5562892</v>
      </c>
      <c r="AB25" s="21">
        <v>11323129</v>
      </c>
      <c r="AC25" s="21">
        <v>15633319</v>
      </c>
      <c r="AD25" s="21">
        <v>11127604</v>
      </c>
      <c r="AE25" s="21">
        <v>18804573</v>
      </c>
      <c r="AF25" s="21">
        <v>26111757</v>
      </c>
      <c r="AG25" s="21">
        <v>76692340</v>
      </c>
      <c r="AH25" s="21">
        <v>5348645</v>
      </c>
      <c r="AI25" s="21">
        <f t="shared" si="0"/>
        <v>640818506</v>
      </c>
    </row>
    <row r="26" spans="1:35" s="5" customFormat="1" x14ac:dyDescent="0.25">
      <c r="A26" s="31" t="s">
        <v>66</v>
      </c>
      <c r="B26" s="30">
        <v>1111768</v>
      </c>
      <c r="C26" s="30">
        <v>3796148</v>
      </c>
      <c r="D26" s="30">
        <v>109299312</v>
      </c>
      <c r="E26" s="30">
        <v>11730907</v>
      </c>
      <c r="F26" s="30">
        <v>135801594</v>
      </c>
      <c r="G26" s="30">
        <v>38326515</v>
      </c>
      <c r="H26" s="30">
        <v>70726710</v>
      </c>
      <c r="I26" s="30">
        <v>3986672</v>
      </c>
      <c r="J26" s="30">
        <v>1938001</v>
      </c>
      <c r="K26" s="30">
        <v>846020</v>
      </c>
      <c r="L26" s="30">
        <v>70035698</v>
      </c>
      <c r="M26" s="30">
        <v>33691822</v>
      </c>
      <c r="N26" s="30">
        <v>7503637</v>
      </c>
      <c r="O26" s="30">
        <v>90721721</v>
      </c>
      <c r="P26" s="30">
        <v>262733042</v>
      </c>
      <c r="Q26" s="30">
        <v>79494889</v>
      </c>
      <c r="R26" s="30">
        <v>3095066</v>
      </c>
      <c r="S26" s="30">
        <v>13467407</v>
      </c>
      <c r="T26" s="30">
        <v>12928779</v>
      </c>
      <c r="U26" s="30">
        <v>6550058</v>
      </c>
      <c r="V26" s="30">
        <v>281313949</v>
      </c>
      <c r="W26" s="30">
        <v>385433891</v>
      </c>
      <c r="X26" s="30">
        <v>223752185</v>
      </c>
      <c r="Y26" s="30">
        <v>2132821</v>
      </c>
      <c r="Z26" s="30">
        <v>94602117</v>
      </c>
      <c r="AA26" s="30">
        <v>11855427</v>
      </c>
      <c r="AB26" s="30">
        <v>45711228</v>
      </c>
      <c r="AC26" s="30">
        <v>50489101</v>
      </c>
      <c r="AD26" s="30">
        <v>75459622</v>
      </c>
      <c r="AE26" s="30">
        <v>24841350</v>
      </c>
      <c r="AF26" s="30">
        <v>96264537</v>
      </c>
      <c r="AG26" s="30">
        <v>294787802</v>
      </c>
      <c r="AH26" s="30">
        <v>37200559</v>
      </c>
      <c r="AI26" s="30">
        <f t="shared" si="0"/>
        <v>2581630355</v>
      </c>
    </row>
    <row r="27" spans="1:35" s="15" customFormat="1" x14ac:dyDescent="0.25">
      <c r="A27" s="23" t="s">
        <v>67</v>
      </c>
      <c r="B27" s="24">
        <v>-764399</v>
      </c>
      <c r="C27" s="24">
        <v>-3337530</v>
      </c>
      <c r="D27" s="24">
        <v>-39660147</v>
      </c>
      <c r="E27" s="24">
        <v>-8328191</v>
      </c>
      <c r="F27" s="24">
        <v>-112924919</v>
      </c>
      <c r="G27" s="24">
        <v>-32387089</v>
      </c>
      <c r="H27" s="24">
        <v>-58445180</v>
      </c>
      <c r="I27" s="24">
        <v>-3452137</v>
      </c>
      <c r="J27" s="24">
        <v>-1667859</v>
      </c>
      <c r="K27" s="24">
        <v>-527776</v>
      </c>
      <c r="L27" s="24">
        <v>-56335492</v>
      </c>
      <c r="M27" s="24">
        <v>-27690917</v>
      </c>
      <c r="N27" s="24">
        <v>-6103979</v>
      </c>
      <c r="O27" s="24">
        <v>-70006426</v>
      </c>
      <c r="P27" s="24">
        <v>-152853191</v>
      </c>
      <c r="Q27" s="24">
        <v>-63752823</v>
      </c>
      <c r="R27" s="24">
        <v>-2662873</v>
      </c>
      <c r="S27" s="24">
        <v>-11478915</v>
      </c>
      <c r="T27" s="24">
        <v>-11401780</v>
      </c>
      <c r="U27" s="24">
        <v>-5364312</v>
      </c>
      <c r="V27" s="24">
        <v>-201015764</v>
      </c>
      <c r="W27" s="24">
        <v>-205487838</v>
      </c>
      <c r="X27" s="24">
        <v>-145402038</v>
      </c>
      <c r="Y27" s="24">
        <v>-1835087</v>
      </c>
      <c r="Z27" s="24">
        <v>-81814912</v>
      </c>
      <c r="AA27" s="24">
        <v>-10464793</v>
      </c>
      <c r="AB27" s="24">
        <v>-38817556</v>
      </c>
      <c r="AC27" s="24">
        <v>-42364673</v>
      </c>
      <c r="AD27" s="24">
        <v>-70465103</v>
      </c>
      <c r="AE27" s="24">
        <v>-13450769</v>
      </c>
      <c r="AF27" s="24">
        <v>-76647457</v>
      </c>
      <c r="AG27" s="24">
        <v>-240279263</v>
      </c>
      <c r="AH27" s="24">
        <v>-23045732</v>
      </c>
      <c r="AI27" s="24">
        <f t="shared" si="0"/>
        <v>-1820236920</v>
      </c>
    </row>
    <row r="28" spans="1:35" ht="30" x14ac:dyDescent="0.25">
      <c r="A28" s="25" t="s">
        <v>179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>
        <v>2068341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>
        <f t="shared" si="0"/>
        <v>2068341</v>
      </c>
    </row>
    <row r="29" spans="1:35" ht="30" x14ac:dyDescent="0.25">
      <c r="A29" s="25" t="s">
        <v>181</v>
      </c>
      <c r="B29" s="21">
        <v>805557</v>
      </c>
      <c r="C29" s="21">
        <v>4804168</v>
      </c>
      <c r="D29" s="21"/>
      <c r="E29" s="21">
        <v>2983027</v>
      </c>
      <c r="F29" s="21"/>
      <c r="G29" s="21">
        <v>12751790</v>
      </c>
      <c r="H29" s="21"/>
      <c r="I29" s="45">
        <v>7269928</v>
      </c>
      <c r="J29" s="21">
        <v>524266</v>
      </c>
      <c r="K29" s="21">
        <v>683454</v>
      </c>
      <c r="L29" s="21"/>
      <c r="M29" s="21">
        <v>429808</v>
      </c>
      <c r="N29" s="21">
        <v>2336455</v>
      </c>
      <c r="O29" s="21"/>
      <c r="P29" s="21"/>
      <c r="Q29" s="21"/>
      <c r="R29" s="21">
        <v>1039145</v>
      </c>
      <c r="S29" s="21">
        <v>9040576</v>
      </c>
      <c r="T29" s="21">
        <v>222068</v>
      </c>
      <c r="U29" s="21">
        <v>7250856</v>
      </c>
      <c r="V29" s="21"/>
      <c r="W29" s="21"/>
      <c r="X29" s="21"/>
      <c r="Y29" s="21"/>
      <c r="Z29" s="21"/>
      <c r="AA29" s="21">
        <v>2834546</v>
      </c>
      <c r="AB29" s="21"/>
      <c r="AC29" s="21"/>
      <c r="AD29" s="21"/>
      <c r="AE29" s="21">
        <v>3090116</v>
      </c>
      <c r="AF29" s="21"/>
      <c r="AG29" s="21"/>
      <c r="AH29" s="21"/>
      <c r="AI29" s="21">
        <f t="shared" si="0"/>
        <v>56065760</v>
      </c>
    </row>
    <row r="30" spans="1:35" s="15" customFormat="1" x14ac:dyDescent="0.25">
      <c r="A30" s="23" t="s">
        <v>61</v>
      </c>
      <c r="B30" s="24">
        <v>1860089</v>
      </c>
      <c r="C30" s="24">
        <v>6155648</v>
      </c>
      <c r="D30" s="24">
        <v>38600533</v>
      </c>
      <c r="E30" s="24">
        <v>7722560</v>
      </c>
      <c r="F30" s="24">
        <v>50331171</v>
      </c>
      <c r="G30" s="24">
        <v>20082581</v>
      </c>
      <c r="H30" s="24">
        <v>15393277</v>
      </c>
      <c r="I30" s="24">
        <v>9010019</v>
      </c>
      <c r="J30" s="24">
        <v>1900542</v>
      </c>
      <c r="K30" s="24">
        <v>1695151</v>
      </c>
      <c r="L30" s="24">
        <v>46679246</v>
      </c>
      <c r="M30" s="24">
        <v>8035971</v>
      </c>
      <c r="N30" s="24">
        <v>6600061</v>
      </c>
      <c r="O30" s="24">
        <v>24223527</v>
      </c>
      <c r="P30" s="24">
        <v>58837095</v>
      </c>
      <c r="Q30" s="24">
        <v>22253401</v>
      </c>
      <c r="R30" s="24">
        <v>2200261</v>
      </c>
      <c r="S30" s="24">
        <v>14344829</v>
      </c>
      <c r="T30" s="24">
        <v>3084095</v>
      </c>
      <c r="U30" s="24">
        <v>9690118</v>
      </c>
      <c r="V30" s="24">
        <v>45370351.658811361</v>
      </c>
      <c r="W30" s="24">
        <v>387885721</v>
      </c>
      <c r="X30" s="24">
        <v>104326197</v>
      </c>
      <c r="Y30" s="24">
        <v>2184638</v>
      </c>
      <c r="Z30" s="24">
        <v>17293406</v>
      </c>
      <c r="AA30" s="24">
        <v>6934159</v>
      </c>
      <c r="AB30" s="24">
        <v>11975131</v>
      </c>
      <c r="AC30" s="24">
        <v>17846564</v>
      </c>
      <c r="AD30" s="24">
        <v>16506996</v>
      </c>
      <c r="AE30" s="24">
        <v>16301762</v>
      </c>
      <c r="AF30" s="24">
        <v>21557230</v>
      </c>
      <c r="AG30" s="24">
        <v>73629369</v>
      </c>
      <c r="AH30" s="24">
        <v>7788177</v>
      </c>
      <c r="AI30" s="24">
        <f t="shared" si="0"/>
        <v>1078299876.6588113</v>
      </c>
    </row>
  </sheetData>
  <pageMargins left="0.7" right="0.7" top="0.75" bottom="0.75" header="0.3" footer="0.3"/>
  <pageSetup paperSize="9" orientation="portrait" r:id="rId1"/>
  <ignoredErrors>
    <ignoredError sqref="C6 C13 C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RowHeight="15" x14ac:dyDescent="0.25"/>
  <cols>
    <col min="1" max="1" width="37.28515625" style="6" customWidth="1"/>
    <col min="2" max="69" width="14.140625" style="4" customWidth="1"/>
    <col min="70" max="16384" width="9.140625" style="4"/>
  </cols>
  <sheetData>
    <row r="1" spans="1:69" ht="18.75" x14ac:dyDescent="0.3">
      <c r="A1" s="28" t="s">
        <v>206</v>
      </c>
    </row>
    <row r="2" spans="1:69" x14ac:dyDescent="0.25">
      <c r="A2" s="6" t="s">
        <v>43</v>
      </c>
    </row>
    <row r="3" spans="1:69" s="8" customFormat="1" x14ac:dyDescent="0.25">
      <c r="A3" s="7" t="s">
        <v>156</v>
      </c>
    </row>
    <row r="4" spans="1:69" s="15" customFormat="1" x14ac:dyDescent="0.25">
      <c r="A4" s="23" t="s">
        <v>0</v>
      </c>
      <c r="B4" s="110" t="s">
        <v>1</v>
      </c>
      <c r="C4" s="110"/>
      <c r="D4" s="110" t="s">
        <v>2</v>
      </c>
      <c r="E4" s="110"/>
      <c r="F4" s="110" t="s">
        <v>3</v>
      </c>
      <c r="G4" s="110"/>
      <c r="H4" s="110" t="s">
        <v>4</v>
      </c>
      <c r="I4" s="110"/>
      <c r="J4" s="110" t="s">
        <v>5</v>
      </c>
      <c r="K4" s="110"/>
      <c r="L4" s="110" t="s">
        <v>6</v>
      </c>
      <c r="M4" s="110"/>
      <c r="N4" s="110" t="s">
        <v>7</v>
      </c>
      <c r="O4" s="110"/>
      <c r="P4" s="110" t="s">
        <v>8</v>
      </c>
      <c r="Q4" s="110"/>
      <c r="R4" s="110" t="s">
        <v>9</v>
      </c>
      <c r="S4" s="110"/>
      <c r="T4" s="110" t="s">
        <v>10</v>
      </c>
      <c r="U4" s="110"/>
      <c r="V4" s="110" t="s">
        <v>11</v>
      </c>
      <c r="W4" s="110"/>
      <c r="X4" s="110" t="s">
        <v>12</v>
      </c>
      <c r="Y4" s="110"/>
      <c r="Z4" s="110" t="s">
        <v>13</v>
      </c>
      <c r="AA4" s="110"/>
      <c r="AB4" s="110" t="s">
        <v>14</v>
      </c>
      <c r="AC4" s="110"/>
      <c r="AD4" s="110" t="s">
        <v>15</v>
      </c>
      <c r="AE4" s="110"/>
      <c r="AF4" s="110" t="s">
        <v>16</v>
      </c>
      <c r="AG4" s="110"/>
      <c r="AH4" s="110" t="s">
        <v>17</v>
      </c>
      <c r="AI4" s="110"/>
      <c r="AJ4" s="110" t="s">
        <v>18</v>
      </c>
      <c r="AK4" s="110"/>
      <c r="AL4" s="110" t="s">
        <v>19</v>
      </c>
      <c r="AM4" s="110"/>
      <c r="AN4" s="110" t="s">
        <v>20</v>
      </c>
      <c r="AO4" s="110"/>
      <c r="AP4" s="110" t="s">
        <v>21</v>
      </c>
      <c r="AQ4" s="110"/>
      <c r="AR4" s="110" t="s">
        <v>161</v>
      </c>
      <c r="AS4" s="110"/>
      <c r="AT4" s="110" t="s">
        <v>162</v>
      </c>
      <c r="AU4" s="110"/>
      <c r="AV4" s="110" t="s">
        <v>22</v>
      </c>
      <c r="AW4" s="110"/>
      <c r="AX4" s="110" t="s">
        <v>23</v>
      </c>
      <c r="AY4" s="110"/>
      <c r="AZ4" s="110" t="s">
        <v>24</v>
      </c>
      <c r="BA4" s="110"/>
      <c r="BB4" s="110" t="s">
        <v>25</v>
      </c>
      <c r="BC4" s="110"/>
      <c r="BD4" s="110" t="s">
        <v>26</v>
      </c>
      <c r="BE4" s="110"/>
      <c r="BF4" s="110" t="s">
        <v>27</v>
      </c>
      <c r="BG4" s="110"/>
      <c r="BH4" s="110" t="s">
        <v>28</v>
      </c>
      <c r="BI4" s="110"/>
      <c r="BJ4" s="110" t="s">
        <v>29</v>
      </c>
      <c r="BK4" s="110"/>
      <c r="BL4" s="110" t="s">
        <v>30</v>
      </c>
      <c r="BM4" s="110"/>
      <c r="BN4" s="110" t="s">
        <v>31</v>
      </c>
      <c r="BO4" s="110"/>
      <c r="BP4" s="110" t="s">
        <v>304</v>
      </c>
      <c r="BQ4" s="110"/>
    </row>
    <row r="5" spans="1:69" s="43" customFormat="1" ht="44.25" customHeight="1" x14ac:dyDescent="0.25">
      <c r="A5" s="44"/>
      <c r="B5" s="44" t="s">
        <v>286</v>
      </c>
      <c r="C5" s="44" t="s">
        <v>287</v>
      </c>
      <c r="D5" s="44" t="s">
        <v>286</v>
      </c>
      <c r="E5" s="44" t="s">
        <v>287</v>
      </c>
      <c r="F5" s="44" t="s">
        <v>286</v>
      </c>
      <c r="G5" s="44" t="s">
        <v>287</v>
      </c>
      <c r="H5" s="44" t="s">
        <v>286</v>
      </c>
      <c r="I5" s="44" t="s">
        <v>287</v>
      </c>
      <c r="J5" s="44" t="s">
        <v>286</v>
      </c>
      <c r="K5" s="44" t="s">
        <v>287</v>
      </c>
      <c r="L5" s="44" t="s">
        <v>286</v>
      </c>
      <c r="M5" s="44" t="s">
        <v>287</v>
      </c>
      <c r="N5" s="44" t="s">
        <v>286</v>
      </c>
      <c r="O5" s="44" t="s">
        <v>287</v>
      </c>
      <c r="P5" s="44" t="s">
        <v>286</v>
      </c>
      <c r="Q5" s="44" t="s">
        <v>287</v>
      </c>
      <c r="R5" s="44" t="s">
        <v>286</v>
      </c>
      <c r="S5" s="44" t="s">
        <v>287</v>
      </c>
      <c r="T5" s="44" t="s">
        <v>286</v>
      </c>
      <c r="U5" s="44" t="s">
        <v>287</v>
      </c>
      <c r="V5" s="44" t="s">
        <v>286</v>
      </c>
      <c r="W5" s="44" t="s">
        <v>287</v>
      </c>
      <c r="X5" s="44" t="s">
        <v>286</v>
      </c>
      <c r="Y5" s="44" t="s">
        <v>287</v>
      </c>
      <c r="Z5" s="44" t="s">
        <v>286</v>
      </c>
      <c r="AA5" s="44" t="s">
        <v>287</v>
      </c>
      <c r="AB5" s="44" t="s">
        <v>286</v>
      </c>
      <c r="AC5" s="44" t="s">
        <v>287</v>
      </c>
      <c r="AD5" s="44" t="s">
        <v>286</v>
      </c>
      <c r="AE5" s="44" t="s">
        <v>287</v>
      </c>
      <c r="AF5" s="44" t="s">
        <v>286</v>
      </c>
      <c r="AG5" s="44" t="s">
        <v>287</v>
      </c>
      <c r="AH5" s="44" t="s">
        <v>286</v>
      </c>
      <c r="AI5" s="44" t="s">
        <v>287</v>
      </c>
      <c r="AJ5" s="44" t="s">
        <v>286</v>
      </c>
      <c r="AK5" s="44" t="s">
        <v>287</v>
      </c>
      <c r="AL5" s="44" t="s">
        <v>286</v>
      </c>
      <c r="AM5" s="44" t="s">
        <v>287</v>
      </c>
      <c r="AN5" s="44" t="s">
        <v>286</v>
      </c>
      <c r="AO5" s="44" t="s">
        <v>287</v>
      </c>
      <c r="AP5" s="44" t="s">
        <v>286</v>
      </c>
      <c r="AQ5" s="44" t="s">
        <v>287</v>
      </c>
      <c r="AR5" s="44" t="s">
        <v>286</v>
      </c>
      <c r="AS5" s="44" t="s">
        <v>287</v>
      </c>
      <c r="AT5" s="44" t="s">
        <v>286</v>
      </c>
      <c r="AU5" s="44" t="s">
        <v>287</v>
      </c>
      <c r="AV5" s="44" t="s">
        <v>286</v>
      </c>
      <c r="AW5" s="44" t="s">
        <v>287</v>
      </c>
      <c r="AX5" s="44" t="s">
        <v>286</v>
      </c>
      <c r="AY5" s="44" t="s">
        <v>287</v>
      </c>
      <c r="AZ5" s="44" t="s">
        <v>286</v>
      </c>
      <c r="BA5" s="44" t="s">
        <v>287</v>
      </c>
      <c r="BB5" s="44" t="s">
        <v>286</v>
      </c>
      <c r="BC5" s="44" t="s">
        <v>287</v>
      </c>
      <c r="BD5" s="44" t="s">
        <v>286</v>
      </c>
      <c r="BE5" s="44" t="s">
        <v>287</v>
      </c>
      <c r="BF5" s="44" t="s">
        <v>286</v>
      </c>
      <c r="BG5" s="44" t="s">
        <v>287</v>
      </c>
      <c r="BH5" s="44" t="s">
        <v>286</v>
      </c>
      <c r="BI5" s="44" t="s">
        <v>287</v>
      </c>
      <c r="BJ5" s="44" t="s">
        <v>286</v>
      </c>
      <c r="BK5" s="44" t="s">
        <v>287</v>
      </c>
      <c r="BL5" s="44" t="s">
        <v>286</v>
      </c>
      <c r="BM5" s="44" t="s">
        <v>287</v>
      </c>
      <c r="BN5" s="44" t="s">
        <v>286</v>
      </c>
      <c r="BO5" s="44" t="s">
        <v>287</v>
      </c>
      <c r="BP5" s="44" t="s">
        <v>286</v>
      </c>
      <c r="BQ5" s="44" t="s">
        <v>287</v>
      </c>
    </row>
    <row r="6" spans="1:69" ht="30" x14ac:dyDescent="0.25">
      <c r="A6" s="25" t="s">
        <v>68</v>
      </c>
      <c r="B6" s="21"/>
      <c r="C6" s="21"/>
      <c r="D6" s="21"/>
      <c r="E6" s="21"/>
      <c r="F6" s="21"/>
      <c r="G6" s="21"/>
      <c r="H6" s="21"/>
      <c r="I6" s="21"/>
      <c r="J6" s="21">
        <v>2154083</v>
      </c>
      <c r="K6" s="21">
        <v>6526085</v>
      </c>
      <c r="L6" s="21">
        <v>367733</v>
      </c>
      <c r="M6" s="21">
        <v>877933</v>
      </c>
      <c r="N6" s="21">
        <v>523204</v>
      </c>
      <c r="O6" s="21">
        <v>1954285</v>
      </c>
      <c r="P6" s="21"/>
      <c r="Q6" s="21"/>
      <c r="R6" s="21">
        <v>9956</v>
      </c>
      <c r="S6" s="21">
        <v>902570</v>
      </c>
      <c r="T6" s="21">
        <v>3301</v>
      </c>
      <c r="U6" s="21">
        <v>9179</v>
      </c>
      <c r="V6" s="21"/>
      <c r="W6" s="21"/>
      <c r="X6" s="21">
        <v>772584</v>
      </c>
      <c r="Y6" s="21">
        <v>2003683</v>
      </c>
      <c r="Z6" s="21">
        <v>81096</v>
      </c>
      <c r="AA6" s="21">
        <v>91834</v>
      </c>
      <c r="AB6" s="21">
        <v>2196959</v>
      </c>
      <c r="AC6" s="21">
        <v>5757106</v>
      </c>
      <c r="AD6" s="21">
        <v>3643213</v>
      </c>
      <c r="AE6" s="21">
        <v>8677164</v>
      </c>
      <c r="AF6" s="21">
        <v>498975</v>
      </c>
      <c r="AG6" s="21">
        <v>2439844</v>
      </c>
      <c r="AH6" s="21">
        <v>43185</v>
      </c>
      <c r="AI6" s="21">
        <v>109330</v>
      </c>
      <c r="AJ6" s="21">
        <v>63190</v>
      </c>
      <c r="AK6" s="21">
        <v>315513</v>
      </c>
      <c r="AL6" s="21">
        <v>226978</v>
      </c>
      <c r="AM6" s="21">
        <v>505426</v>
      </c>
      <c r="AN6" s="21"/>
      <c r="AO6" s="21"/>
      <c r="AP6" s="21">
        <v>2076555.1472385991</v>
      </c>
      <c r="AQ6" s="21">
        <v>6672056.7579497993</v>
      </c>
      <c r="AR6" s="21">
        <v>6635641</v>
      </c>
      <c r="AS6" s="21">
        <v>20104994</v>
      </c>
      <c r="AT6" s="21">
        <v>2536314</v>
      </c>
      <c r="AU6" s="21">
        <v>8357704</v>
      </c>
      <c r="AV6" s="21">
        <v>3930</v>
      </c>
      <c r="AW6" s="21">
        <v>15811</v>
      </c>
      <c r="AX6" s="21">
        <v>819279</v>
      </c>
      <c r="AY6" s="21">
        <v>3597867</v>
      </c>
      <c r="AZ6" s="21"/>
      <c r="BA6" s="21"/>
      <c r="BB6" s="21">
        <v>240937</v>
      </c>
      <c r="BC6" s="21">
        <v>1142006</v>
      </c>
      <c r="BD6" s="21">
        <v>2145032</v>
      </c>
      <c r="BE6" s="21">
        <v>6219201</v>
      </c>
      <c r="BF6" s="21">
        <v>69264</v>
      </c>
      <c r="BG6" s="21">
        <v>227009</v>
      </c>
      <c r="BH6" s="21"/>
      <c r="BI6" s="21"/>
      <c r="BJ6" s="21">
        <v>1908346</v>
      </c>
      <c r="BK6" s="21">
        <v>6190149</v>
      </c>
      <c r="BL6" s="21">
        <v>2156118</v>
      </c>
      <c r="BM6" s="21">
        <v>8333598</v>
      </c>
      <c r="BN6" s="21">
        <v>232991</v>
      </c>
      <c r="BO6" s="21">
        <v>1122254</v>
      </c>
      <c r="BP6" s="21">
        <f>B6+D6+F6+H6+J6+L6+N6+P6+R6+T6+V6+X6+Z6+AB6+AD6+AF6+AH6+AJ6+AL6+AN6+AP6+AR6+AT6+AV6+AX6+AZ6+BB6+BD6+BF6+BH6+BJ6+BL6+BN6</f>
        <v>29408864.147238597</v>
      </c>
      <c r="BQ6" s="21">
        <f>C6+E6+G6+I6+K6+M6+O6+Q6+S6+U6+W6+Y6+AA6+AC6+AE6+AG6+AI6+AK6+AM6+AO6+AQ6+AS6+AU6+AW6+AY6+BA6+BC6+BE6+BG6+BI6+BK6+BM6+BO6</f>
        <v>92152601.757949799</v>
      </c>
    </row>
    <row r="7" spans="1:69" s="10" customFormat="1" x14ac:dyDescent="0.25">
      <c r="A7" s="25" t="s">
        <v>213</v>
      </c>
      <c r="B7" s="45"/>
      <c r="C7" s="45"/>
      <c r="D7" s="45"/>
      <c r="E7" s="45"/>
      <c r="F7" s="45"/>
      <c r="G7" s="45"/>
      <c r="H7" s="45"/>
      <c r="I7" s="45"/>
      <c r="J7" s="45">
        <v>837551</v>
      </c>
      <c r="K7" s="45">
        <v>1967076</v>
      </c>
      <c r="L7" s="45">
        <v>60534</v>
      </c>
      <c r="M7" s="45">
        <v>201863</v>
      </c>
      <c r="N7" s="45">
        <v>-642632</v>
      </c>
      <c r="O7" s="45">
        <v>255118</v>
      </c>
      <c r="P7" s="45"/>
      <c r="Q7" s="45"/>
      <c r="R7" s="45">
        <v>7172</v>
      </c>
      <c r="S7" s="45">
        <v>836507</v>
      </c>
      <c r="T7" s="45"/>
      <c r="U7" s="45"/>
      <c r="V7" s="45"/>
      <c r="W7" s="45"/>
      <c r="X7" s="45">
        <v>166111</v>
      </c>
      <c r="Y7" s="45">
        <v>614487</v>
      </c>
      <c r="Z7" s="45">
        <v>30386</v>
      </c>
      <c r="AA7" s="45">
        <v>74394</v>
      </c>
      <c r="AB7" s="45">
        <v>340351</v>
      </c>
      <c r="AC7" s="45">
        <v>643257</v>
      </c>
      <c r="AD7" s="45">
        <v>448655</v>
      </c>
      <c r="AE7" s="45">
        <v>1443650</v>
      </c>
      <c r="AF7" s="45">
        <v>97691</v>
      </c>
      <c r="AG7" s="45">
        <v>313595</v>
      </c>
      <c r="AH7" s="45">
        <v>22479</v>
      </c>
      <c r="AI7" s="45">
        <v>62025</v>
      </c>
      <c r="AJ7" s="45">
        <v>51071</v>
      </c>
      <c r="AK7" s="45">
        <v>103458</v>
      </c>
      <c r="AL7" s="45">
        <v>22189</v>
      </c>
      <c r="AM7" s="45">
        <v>56030</v>
      </c>
      <c r="AN7" s="45"/>
      <c r="AO7" s="45"/>
      <c r="AP7" s="45">
        <v>1212058.0449446994</v>
      </c>
      <c r="AQ7" s="45">
        <v>4345636.0918734996</v>
      </c>
      <c r="AR7" s="45">
        <v>4612626</v>
      </c>
      <c r="AS7" s="45">
        <v>14879274</v>
      </c>
      <c r="AT7" s="45">
        <v>1291519</v>
      </c>
      <c r="AU7" s="45">
        <v>4754236</v>
      </c>
      <c r="AV7" s="45">
        <v>894</v>
      </c>
      <c r="AW7" s="45">
        <v>3481</v>
      </c>
      <c r="AX7" s="45">
        <v>350151</v>
      </c>
      <c r="AY7" s="45">
        <v>1169144</v>
      </c>
      <c r="AZ7" s="45"/>
      <c r="BA7" s="45"/>
      <c r="BB7" s="45">
        <v>60995</v>
      </c>
      <c r="BC7" s="45">
        <v>290692</v>
      </c>
      <c r="BD7" s="45">
        <v>584991</v>
      </c>
      <c r="BE7" s="45">
        <v>1711677</v>
      </c>
      <c r="BF7" s="45">
        <v>54860</v>
      </c>
      <c r="BG7" s="45">
        <v>187898</v>
      </c>
      <c r="BH7" s="45"/>
      <c r="BI7" s="45"/>
      <c r="BJ7" s="45">
        <v>677188</v>
      </c>
      <c r="BK7" s="45">
        <v>1967722</v>
      </c>
      <c r="BL7" s="45">
        <v>971532</v>
      </c>
      <c r="BM7" s="45">
        <v>4381469</v>
      </c>
      <c r="BN7" s="45">
        <v>126003</v>
      </c>
      <c r="BO7" s="45">
        <v>431262</v>
      </c>
      <c r="BP7" s="21">
        <f t="shared" ref="BP7:BP8" si="0">B7+D7+F7+H7+J7+L7+N7+P7+R7+T7+V7+X7+Z7+AB7+AD7+AF7+AH7+AJ7+AL7+AN7+AP7+AR7+AT7+AV7+AX7+AZ7+BB7+BD7+BF7+BH7+BJ7+BL7+BN7</f>
        <v>11384375.0449447</v>
      </c>
      <c r="BQ7" s="21">
        <f t="shared" ref="BQ7:BQ8" si="1">C7+E7+G7+I7+K7+M7+O7+Q7+S7+U7+W7+Y7+AA7+AC7+AE7+AG7+AI7+AK7+AM7+AO7+AQ7+AS7+AU7+AW7+AY7+BA7+BC7+BE7+BG7+BI7+BK7+BM7+BO7</f>
        <v>40693951.091873497</v>
      </c>
    </row>
    <row r="8" spans="1:69" s="10" customFormat="1" x14ac:dyDescent="0.25">
      <c r="A8" s="25" t="s">
        <v>266</v>
      </c>
      <c r="B8" s="45"/>
      <c r="C8" s="45"/>
      <c r="D8" s="45"/>
      <c r="E8" s="45"/>
      <c r="F8" s="45"/>
      <c r="G8" s="45"/>
      <c r="H8" s="45"/>
      <c r="I8" s="45"/>
      <c r="J8" s="45">
        <v>657493</v>
      </c>
      <c r="K8" s="45">
        <v>1373842</v>
      </c>
      <c r="L8" s="45">
        <v>52073</v>
      </c>
      <c r="M8" s="45">
        <v>136487</v>
      </c>
      <c r="N8" s="45">
        <v>203114</v>
      </c>
      <c r="O8" s="45">
        <v>718104</v>
      </c>
      <c r="P8" s="45"/>
      <c r="Q8" s="45"/>
      <c r="R8" s="45">
        <v>82875</v>
      </c>
      <c r="S8" s="45">
        <v>486646</v>
      </c>
      <c r="T8" s="45">
        <v>1424</v>
      </c>
      <c r="U8" s="45">
        <v>6988</v>
      </c>
      <c r="V8" s="45"/>
      <c r="W8" s="45"/>
      <c r="X8" s="45">
        <v>77342</v>
      </c>
      <c r="Y8" s="45">
        <v>463190</v>
      </c>
      <c r="Z8" s="45">
        <v>16079</v>
      </c>
      <c r="AA8" s="45">
        <v>25968</v>
      </c>
      <c r="AB8" s="45">
        <v>359172</v>
      </c>
      <c r="AC8" s="45">
        <v>714008</v>
      </c>
      <c r="AD8" s="45">
        <v>393716</v>
      </c>
      <c r="AE8" s="45">
        <v>1137422</v>
      </c>
      <c r="AF8" s="45">
        <v>118494</v>
      </c>
      <c r="AG8" s="45">
        <v>320080</v>
      </c>
      <c r="AH8" s="45">
        <v>14291</v>
      </c>
      <c r="AI8" s="45">
        <v>34791</v>
      </c>
      <c r="AJ8" s="45">
        <v>9641</v>
      </c>
      <c r="AK8" s="45">
        <v>29821</v>
      </c>
      <c r="AL8" s="45">
        <v>17197</v>
      </c>
      <c r="AM8" s="45">
        <v>49751</v>
      </c>
      <c r="AN8" s="45"/>
      <c r="AO8" s="45"/>
      <c r="AP8" s="45">
        <v>1111275.9569446994</v>
      </c>
      <c r="AQ8" s="45">
        <v>5177542.7398734996</v>
      </c>
      <c r="AR8" s="45">
        <v>4275395</v>
      </c>
      <c r="AS8" s="45">
        <v>13536519</v>
      </c>
      <c r="AT8" s="45">
        <v>1202221</v>
      </c>
      <c r="AU8" s="45">
        <v>4687842</v>
      </c>
      <c r="AV8" s="45">
        <v>1157</v>
      </c>
      <c r="AW8" s="45">
        <v>3681</v>
      </c>
      <c r="AX8" s="45">
        <v>277040</v>
      </c>
      <c r="AY8" s="45">
        <v>724053</v>
      </c>
      <c r="AZ8" s="45"/>
      <c r="BA8" s="45"/>
      <c r="BB8" s="45">
        <v>83502</v>
      </c>
      <c r="BC8" s="45">
        <v>219606</v>
      </c>
      <c r="BD8" s="45">
        <v>406444</v>
      </c>
      <c r="BE8" s="45">
        <v>1133287</v>
      </c>
      <c r="BF8" s="45">
        <v>60130</v>
      </c>
      <c r="BG8" s="45">
        <v>149575</v>
      </c>
      <c r="BH8" s="45"/>
      <c r="BI8" s="45"/>
      <c r="BJ8" s="45">
        <v>422642</v>
      </c>
      <c r="BK8" s="45">
        <v>827597</v>
      </c>
      <c r="BL8" s="45">
        <v>633896</v>
      </c>
      <c r="BM8" s="45">
        <v>4388838</v>
      </c>
      <c r="BN8" s="45">
        <v>147769</v>
      </c>
      <c r="BO8" s="45">
        <v>421496</v>
      </c>
      <c r="BP8" s="21">
        <f t="shared" si="0"/>
        <v>10624382.9569447</v>
      </c>
      <c r="BQ8" s="21">
        <f t="shared" si="1"/>
        <v>36767134.739873499</v>
      </c>
    </row>
    <row r="10" spans="1:69" s="8" customFormat="1" x14ac:dyDescent="0.25">
      <c r="A10" s="7" t="s">
        <v>183</v>
      </c>
    </row>
    <row r="11" spans="1:69" s="15" customFormat="1" x14ac:dyDescent="0.25">
      <c r="A11" s="23" t="s">
        <v>0</v>
      </c>
      <c r="B11" s="110" t="s">
        <v>1</v>
      </c>
      <c r="C11" s="110"/>
      <c r="D11" s="110" t="s">
        <v>2</v>
      </c>
      <c r="E11" s="110"/>
      <c r="F11" s="110" t="s">
        <v>3</v>
      </c>
      <c r="G11" s="110"/>
      <c r="H11" s="110" t="s">
        <v>4</v>
      </c>
      <c r="I11" s="110"/>
      <c r="J11" s="110" t="s">
        <v>5</v>
      </c>
      <c r="K11" s="110"/>
      <c r="L11" s="110" t="s">
        <v>6</v>
      </c>
      <c r="M11" s="110"/>
      <c r="N11" s="110" t="s">
        <v>7</v>
      </c>
      <c r="O11" s="110"/>
      <c r="P11" s="110" t="s">
        <v>8</v>
      </c>
      <c r="Q11" s="110"/>
      <c r="R11" s="110" t="s">
        <v>9</v>
      </c>
      <c r="S11" s="110"/>
      <c r="T11" s="110" t="s">
        <v>10</v>
      </c>
      <c r="U11" s="110"/>
      <c r="V11" s="110" t="s">
        <v>11</v>
      </c>
      <c r="W11" s="110"/>
      <c r="X11" s="110" t="s">
        <v>12</v>
      </c>
      <c r="Y11" s="110"/>
      <c r="Z11" s="110" t="s">
        <v>13</v>
      </c>
      <c r="AA11" s="110"/>
      <c r="AB11" s="110" t="s">
        <v>14</v>
      </c>
      <c r="AC11" s="110"/>
      <c r="AD11" s="110" t="s">
        <v>15</v>
      </c>
      <c r="AE11" s="110"/>
      <c r="AF11" s="110" t="s">
        <v>16</v>
      </c>
      <c r="AG11" s="110"/>
      <c r="AH11" s="110" t="s">
        <v>17</v>
      </c>
      <c r="AI11" s="110"/>
      <c r="AJ11" s="110" t="s">
        <v>18</v>
      </c>
      <c r="AK11" s="110"/>
      <c r="AL11" s="110" t="s">
        <v>19</v>
      </c>
      <c r="AM11" s="110"/>
      <c r="AN11" s="110" t="s">
        <v>20</v>
      </c>
      <c r="AO11" s="110"/>
      <c r="AP11" s="111" t="s">
        <v>21</v>
      </c>
      <c r="AQ11" s="112"/>
      <c r="AR11" s="110" t="s">
        <v>161</v>
      </c>
      <c r="AS11" s="110"/>
      <c r="AT11" s="110" t="s">
        <v>162</v>
      </c>
      <c r="AU11" s="110"/>
      <c r="AV11" s="110" t="s">
        <v>22</v>
      </c>
      <c r="AW11" s="110"/>
      <c r="AX11" s="110" t="s">
        <v>23</v>
      </c>
      <c r="AY11" s="110"/>
      <c r="AZ11" s="110" t="s">
        <v>24</v>
      </c>
      <c r="BA11" s="110"/>
      <c r="BB11" s="110" t="s">
        <v>25</v>
      </c>
      <c r="BC11" s="110"/>
      <c r="BD11" s="110" t="s">
        <v>26</v>
      </c>
      <c r="BE11" s="110"/>
      <c r="BF11" s="110" t="s">
        <v>27</v>
      </c>
      <c r="BG11" s="110"/>
      <c r="BH11" s="110" t="s">
        <v>28</v>
      </c>
      <c r="BI11" s="110"/>
      <c r="BJ11" s="110" t="s">
        <v>29</v>
      </c>
      <c r="BK11" s="110"/>
      <c r="BL11" s="110" t="s">
        <v>30</v>
      </c>
      <c r="BM11" s="110"/>
      <c r="BN11" s="110" t="s">
        <v>31</v>
      </c>
      <c r="BO11" s="110"/>
      <c r="BP11" s="110" t="s">
        <v>304</v>
      </c>
      <c r="BQ11" s="110"/>
    </row>
    <row r="12" spans="1:69" s="43" customFormat="1" ht="44.25" customHeight="1" x14ac:dyDescent="0.25">
      <c r="A12" s="44"/>
      <c r="B12" s="44" t="s">
        <v>286</v>
      </c>
      <c r="C12" s="44" t="s">
        <v>287</v>
      </c>
      <c r="D12" s="44" t="s">
        <v>286</v>
      </c>
      <c r="E12" s="44" t="s">
        <v>287</v>
      </c>
      <c r="F12" s="44" t="s">
        <v>286</v>
      </c>
      <c r="G12" s="44" t="s">
        <v>287</v>
      </c>
      <c r="H12" s="44" t="s">
        <v>286</v>
      </c>
      <c r="I12" s="44" t="s">
        <v>287</v>
      </c>
      <c r="J12" s="44" t="s">
        <v>286</v>
      </c>
      <c r="K12" s="44" t="s">
        <v>287</v>
      </c>
      <c r="L12" s="44" t="s">
        <v>286</v>
      </c>
      <c r="M12" s="44" t="s">
        <v>287</v>
      </c>
      <c r="N12" s="44" t="s">
        <v>286</v>
      </c>
      <c r="O12" s="44" t="s">
        <v>287</v>
      </c>
      <c r="P12" s="44" t="s">
        <v>286</v>
      </c>
      <c r="Q12" s="44" t="s">
        <v>287</v>
      </c>
      <c r="R12" s="44" t="s">
        <v>286</v>
      </c>
      <c r="S12" s="44" t="s">
        <v>287</v>
      </c>
      <c r="T12" s="44" t="s">
        <v>286</v>
      </c>
      <c r="U12" s="44" t="s">
        <v>287</v>
      </c>
      <c r="V12" s="44" t="s">
        <v>286</v>
      </c>
      <c r="W12" s="44" t="s">
        <v>287</v>
      </c>
      <c r="X12" s="44" t="s">
        <v>286</v>
      </c>
      <c r="Y12" s="44" t="s">
        <v>287</v>
      </c>
      <c r="Z12" s="44" t="s">
        <v>286</v>
      </c>
      <c r="AA12" s="44" t="s">
        <v>287</v>
      </c>
      <c r="AB12" s="44" t="s">
        <v>286</v>
      </c>
      <c r="AC12" s="44" t="s">
        <v>287</v>
      </c>
      <c r="AD12" s="44" t="s">
        <v>286</v>
      </c>
      <c r="AE12" s="44" t="s">
        <v>287</v>
      </c>
      <c r="AF12" s="44" t="s">
        <v>286</v>
      </c>
      <c r="AG12" s="44" t="s">
        <v>287</v>
      </c>
      <c r="AH12" s="44" t="s">
        <v>286</v>
      </c>
      <c r="AI12" s="44" t="s">
        <v>287</v>
      </c>
      <c r="AJ12" s="44" t="s">
        <v>286</v>
      </c>
      <c r="AK12" s="44" t="s">
        <v>287</v>
      </c>
      <c r="AL12" s="44" t="s">
        <v>286</v>
      </c>
      <c r="AM12" s="44" t="s">
        <v>287</v>
      </c>
      <c r="AN12" s="44" t="s">
        <v>286</v>
      </c>
      <c r="AO12" s="44" t="s">
        <v>287</v>
      </c>
      <c r="AP12" s="44" t="s">
        <v>286</v>
      </c>
      <c r="AQ12" s="44" t="s">
        <v>287</v>
      </c>
      <c r="AR12" s="44" t="s">
        <v>286</v>
      </c>
      <c r="AS12" s="44" t="s">
        <v>287</v>
      </c>
      <c r="AT12" s="44" t="s">
        <v>286</v>
      </c>
      <c r="AU12" s="44" t="s">
        <v>287</v>
      </c>
      <c r="AV12" s="44" t="s">
        <v>286</v>
      </c>
      <c r="AW12" s="44" t="s">
        <v>287</v>
      </c>
      <c r="AX12" s="44" t="s">
        <v>286</v>
      </c>
      <c r="AY12" s="44" t="s">
        <v>287</v>
      </c>
      <c r="AZ12" s="44" t="s">
        <v>286</v>
      </c>
      <c r="BA12" s="44" t="s">
        <v>287</v>
      </c>
      <c r="BB12" s="44" t="s">
        <v>286</v>
      </c>
      <c r="BC12" s="44" t="s">
        <v>287</v>
      </c>
      <c r="BD12" s="44" t="s">
        <v>286</v>
      </c>
      <c r="BE12" s="44" t="s">
        <v>287</v>
      </c>
      <c r="BF12" s="44" t="s">
        <v>286</v>
      </c>
      <c r="BG12" s="44" t="s">
        <v>287</v>
      </c>
      <c r="BH12" s="44" t="s">
        <v>286</v>
      </c>
      <c r="BI12" s="44" t="s">
        <v>287</v>
      </c>
      <c r="BJ12" s="44" t="s">
        <v>286</v>
      </c>
      <c r="BK12" s="44" t="s">
        <v>287</v>
      </c>
      <c r="BL12" s="44" t="s">
        <v>286</v>
      </c>
      <c r="BM12" s="44" t="s">
        <v>287</v>
      </c>
      <c r="BN12" s="44" t="s">
        <v>286</v>
      </c>
      <c r="BO12" s="44" t="s">
        <v>287</v>
      </c>
      <c r="BP12" s="44" t="s">
        <v>286</v>
      </c>
      <c r="BQ12" s="44" t="s">
        <v>287</v>
      </c>
    </row>
    <row r="13" spans="1:69" ht="30" x14ac:dyDescent="0.25">
      <c r="A13" s="25" t="s">
        <v>68</v>
      </c>
      <c r="B13" s="21"/>
      <c r="C13" s="21"/>
      <c r="D13" s="21"/>
      <c r="E13" s="21"/>
      <c r="F13" s="21"/>
      <c r="G13" s="21"/>
      <c r="H13" s="21"/>
      <c r="I13" s="21"/>
      <c r="J13" s="21">
        <v>338506</v>
      </c>
      <c r="K13" s="21">
        <v>1151134</v>
      </c>
      <c r="L13" s="21">
        <v>110444</v>
      </c>
      <c r="M13" s="21">
        <v>340567</v>
      </c>
      <c r="N13" s="21">
        <v>147684</v>
      </c>
      <c r="O13" s="21">
        <v>511353</v>
      </c>
      <c r="P13" s="21"/>
      <c r="Q13" s="21"/>
      <c r="R13" s="21"/>
      <c r="S13" s="21"/>
      <c r="T13" s="21">
        <v>925</v>
      </c>
      <c r="U13" s="21">
        <v>1850</v>
      </c>
      <c r="V13" s="21"/>
      <c r="W13" s="21"/>
      <c r="X13" s="21">
        <v>163879</v>
      </c>
      <c r="Y13" s="21">
        <v>540766</v>
      </c>
      <c r="Z13" s="21">
        <v>228</v>
      </c>
      <c r="AA13" s="21">
        <v>228</v>
      </c>
      <c r="AB13" s="21">
        <f>256585+350715</f>
        <v>607300</v>
      </c>
      <c r="AC13" s="21">
        <f>351776+1125365</f>
        <v>1477141</v>
      </c>
      <c r="AD13" s="21">
        <v>1299689</v>
      </c>
      <c r="AE13" s="21">
        <v>3613727</v>
      </c>
      <c r="AF13" s="21">
        <v>378755</v>
      </c>
      <c r="AG13" s="21">
        <v>1221845</v>
      </c>
      <c r="AH13" s="21"/>
      <c r="AI13" s="21"/>
      <c r="AJ13" s="21">
        <v>56064</v>
      </c>
      <c r="AK13" s="21">
        <v>184486</v>
      </c>
      <c r="AL13" s="21">
        <v>26684</v>
      </c>
      <c r="AM13" s="21">
        <v>115992</v>
      </c>
      <c r="AN13" s="21"/>
      <c r="AO13" s="21"/>
      <c r="AP13" s="21">
        <v>548630.02914240002</v>
      </c>
      <c r="AQ13" s="21">
        <v>1657809.6321016001</v>
      </c>
      <c r="AR13" s="21">
        <v>1733287</v>
      </c>
      <c r="AS13" s="21">
        <v>5206553</v>
      </c>
      <c r="AT13" s="21">
        <v>786844</v>
      </c>
      <c r="AU13" s="21">
        <v>2430773</v>
      </c>
      <c r="AV13" s="21"/>
      <c r="AW13" s="21">
        <v>582</v>
      </c>
      <c r="AX13" s="21">
        <v>115188</v>
      </c>
      <c r="AY13" s="21">
        <v>626136</v>
      </c>
      <c r="AZ13" s="21"/>
      <c r="BA13" s="21"/>
      <c r="BB13" s="21">
        <v>81928</v>
      </c>
      <c r="BC13" s="21">
        <v>286359</v>
      </c>
      <c r="BD13" s="21">
        <v>43805</v>
      </c>
      <c r="BE13" s="21">
        <v>154698</v>
      </c>
      <c r="BF13" s="21">
        <v>3075</v>
      </c>
      <c r="BG13" s="21">
        <v>15170</v>
      </c>
      <c r="BH13" s="21"/>
      <c r="BI13" s="21"/>
      <c r="BJ13" s="21">
        <v>729366</v>
      </c>
      <c r="BK13" s="21">
        <v>2482464</v>
      </c>
      <c r="BL13" s="21">
        <v>952599</v>
      </c>
      <c r="BM13" s="21">
        <v>2607420</v>
      </c>
      <c r="BN13" s="21">
        <f>24709+10055</f>
        <v>34764</v>
      </c>
      <c r="BO13" s="21">
        <f>111310+25639</f>
        <v>136949</v>
      </c>
      <c r="BP13" s="21">
        <f t="shared" ref="BP13:BP15" si="2">B13+D13+F13+H13+J13+L13+N13+P13+R13+T13+V13+X13+Z13+AB13+AD13+AF13+AH13+AJ13+AL13+AN13+AP13+AR13+AT13+AV13+AX13+AZ13+BB13+BD13+BF13+BH13+BJ13+BL13+BN13</f>
        <v>8159644.0291424002</v>
      </c>
      <c r="BQ13" s="21">
        <f t="shared" ref="BQ13:BQ15" si="3">C13+E13+G13+I13+K13+M13+O13+Q13+S13+U13+W13+Y13+AA13+AC13+AE13+AG13+AI13+AK13+AM13+AO13+AQ13+AS13+AU13+AW13+AY13+BA13+BC13+BE13+BG13+BI13+BK13+BM13+BO13</f>
        <v>24764002.632101599</v>
      </c>
    </row>
    <row r="14" spans="1:69" s="10" customFormat="1" x14ac:dyDescent="0.25">
      <c r="A14" s="25" t="s">
        <v>213</v>
      </c>
      <c r="B14" s="45"/>
      <c r="C14" s="45"/>
      <c r="D14" s="45"/>
      <c r="E14" s="45"/>
      <c r="F14" s="45"/>
      <c r="G14" s="45"/>
      <c r="H14" s="45"/>
      <c r="I14" s="45"/>
      <c r="J14" s="45">
        <v>267834</v>
      </c>
      <c r="K14" s="45">
        <v>803107</v>
      </c>
      <c r="L14" s="45">
        <v>70551</v>
      </c>
      <c r="M14" s="45">
        <v>232607</v>
      </c>
      <c r="N14" s="45">
        <v>40083</v>
      </c>
      <c r="O14" s="45">
        <v>146177</v>
      </c>
      <c r="P14" s="45"/>
      <c r="Q14" s="45"/>
      <c r="R14" s="45"/>
      <c r="S14" s="45"/>
      <c r="T14" s="45"/>
      <c r="U14" s="45"/>
      <c r="V14" s="45"/>
      <c r="W14" s="45"/>
      <c r="X14" s="45">
        <v>103679</v>
      </c>
      <c r="Y14" s="45">
        <v>396490</v>
      </c>
      <c r="Z14" s="45">
        <v>225</v>
      </c>
      <c r="AA14" s="45">
        <v>225</v>
      </c>
      <c r="AB14" s="45">
        <f>843+152146</f>
        <v>152989</v>
      </c>
      <c r="AC14" s="45">
        <f>996+514977</f>
        <v>515973</v>
      </c>
      <c r="AD14" s="45">
        <v>510551</v>
      </c>
      <c r="AE14" s="45">
        <v>2033275</v>
      </c>
      <c r="AF14" s="45">
        <v>158630</v>
      </c>
      <c r="AG14" s="45">
        <v>518276</v>
      </c>
      <c r="AH14" s="45"/>
      <c r="AI14" s="45"/>
      <c r="AJ14" s="45">
        <v>50190</v>
      </c>
      <c r="AK14" s="45">
        <v>137717</v>
      </c>
      <c r="AL14" s="45">
        <v>-576</v>
      </c>
      <c r="AM14" s="45">
        <v>9704</v>
      </c>
      <c r="AN14" s="45"/>
      <c r="AO14" s="45"/>
      <c r="AP14" s="45">
        <v>386279.68675500003</v>
      </c>
      <c r="AQ14" s="45">
        <v>1196451.0685182</v>
      </c>
      <c r="AR14" s="45">
        <v>1037251</v>
      </c>
      <c r="AS14" s="45">
        <v>3119563</v>
      </c>
      <c r="AT14" s="45">
        <v>502345</v>
      </c>
      <c r="AU14" s="45">
        <v>1575292</v>
      </c>
      <c r="AV14" s="45"/>
      <c r="AW14" s="45">
        <v>460</v>
      </c>
      <c r="AX14" s="45">
        <v>4924</v>
      </c>
      <c r="AY14" s="45">
        <v>54640</v>
      </c>
      <c r="AZ14" s="45"/>
      <c r="BA14" s="45"/>
      <c r="BB14" s="45">
        <v>49895</v>
      </c>
      <c r="BC14" s="45">
        <v>149483</v>
      </c>
      <c r="BD14" s="45">
        <v>27978</v>
      </c>
      <c r="BE14" s="45">
        <v>98047</v>
      </c>
      <c r="BF14" s="45">
        <v>2036</v>
      </c>
      <c r="BG14" s="45">
        <v>8787</v>
      </c>
      <c r="BH14" s="45"/>
      <c r="BI14" s="45"/>
      <c r="BJ14" s="45">
        <v>643342</v>
      </c>
      <c r="BK14" s="45">
        <v>2255308</v>
      </c>
      <c r="BL14" s="45">
        <v>499368</v>
      </c>
      <c r="BM14" s="45">
        <v>1571473</v>
      </c>
      <c r="BN14" s="45">
        <v>11163</v>
      </c>
      <c r="BO14" s="45">
        <v>39472</v>
      </c>
      <c r="BP14" s="21">
        <f t="shared" si="2"/>
        <v>4518737.6867549997</v>
      </c>
      <c r="BQ14" s="21">
        <f t="shared" si="3"/>
        <v>14862527.068518199</v>
      </c>
    </row>
    <row r="15" spans="1:69" s="10" customFormat="1" x14ac:dyDescent="0.25">
      <c r="A15" s="25" t="s">
        <v>266</v>
      </c>
      <c r="B15" s="45"/>
      <c r="C15" s="45"/>
      <c r="D15" s="45"/>
      <c r="E15" s="45"/>
      <c r="F15" s="45"/>
      <c r="G15" s="45"/>
      <c r="H15" s="45"/>
      <c r="I15" s="45"/>
      <c r="J15" s="45">
        <v>302625</v>
      </c>
      <c r="K15" s="45">
        <v>790012</v>
      </c>
      <c r="L15" s="45">
        <v>69948</v>
      </c>
      <c r="M15" s="45">
        <v>172058</v>
      </c>
      <c r="N15" s="45">
        <v>44254</v>
      </c>
      <c r="O15" s="45">
        <v>128746</v>
      </c>
      <c r="P15" s="45"/>
      <c r="Q15" s="45"/>
      <c r="R15" s="45"/>
      <c r="S15" s="45"/>
      <c r="T15" s="45">
        <v>-176</v>
      </c>
      <c r="U15" s="45">
        <v>-530</v>
      </c>
      <c r="V15" s="45"/>
      <c r="W15" s="45"/>
      <c r="X15" s="45">
        <v>116758</v>
      </c>
      <c r="Y15" s="45">
        <v>357981</v>
      </c>
      <c r="Z15" s="45">
        <v>11</v>
      </c>
      <c r="AA15" s="45">
        <v>11</v>
      </c>
      <c r="AB15" s="45">
        <f>1093+155410</f>
        <v>156503</v>
      </c>
      <c r="AC15" s="45">
        <f>1384+428716</f>
        <v>430100</v>
      </c>
      <c r="AD15" s="45">
        <v>680908</v>
      </c>
      <c r="AE15" s="45">
        <v>1789360</v>
      </c>
      <c r="AF15" s="45">
        <v>164739</v>
      </c>
      <c r="AG15" s="45">
        <v>470870</v>
      </c>
      <c r="AH15" s="45"/>
      <c r="AI15" s="45"/>
      <c r="AJ15" s="45">
        <v>45655</v>
      </c>
      <c r="AK15" s="45">
        <v>108578</v>
      </c>
      <c r="AL15" s="45">
        <v>3740</v>
      </c>
      <c r="AM15" s="45">
        <v>9946</v>
      </c>
      <c r="AN15" s="45"/>
      <c r="AO15" s="45"/>
      <c r="AP15" s="45">
        <v>293594.92684500007</v>
      </c>
      <c r="AQ15" s="45">
        <v>957662.00260820007</v>
      </c>
      <c r="AR15" s="45">
        <v>1289880</v>
      </c>
      <c r="AS15" s="45">
        <v>2944432</v>
      </c>
      <c r="AT15" s="45">
        <v>540188</v>
      </c>
      <c r="AU15" s="45">
        <v>1626343</v>
      </c>
      <c r="AV15" s="45">
        <v>110</v>
      </c>
      <c r="AW15" s="45">
        <v>451</v>
      </c>
      <c r="AX15" s="45">
        <v>14035</v>
      </c>
      <c r="AY15" s="45">
        <v>41848</v>
      </c>
      <c r="AZ15" s="45"/>
      <c r="BA15" s="45"/>
      <c r="BB15" s="45">
        <v>47572</v>
      </c>
      <c r="BC15" s="45">
        <v>140395</v>
      </c>
      <c r="BD15" s="45">
        <v>32355</v>
      </c>
      <c r="BE15" s="45">
        <v>85435</v>
      </c>
      <c r="BF15" s="45">
        <v>2888</v>
      </c>
      <c r="BG15" s="45">
        <v>10281</v>
      </c>
      <c r="BH15" s="45"/>
      <c r="BI15" s="45"/>
      <c r="BJ15" s="45">
        <v>694957</v>
      </c>
      <c r="BK15" s="45">
        <v>1996583</v>
      </c>
      <c r="BL15" s="45">
        <v>526876</v>
      </c>
      <c r="BM15" s="45">
        <v>1455109</v>
      </c>
      <c r="BN15" s="45">
        <v>11899</v>
      </c>
      <c r="BO15" s="45">
        <v>40489</v>
      </c>
      <c r="BP15" s="21">
        <f t="shared" si="2"/>
        <v>5039319.9268450001</v>
      </c>
      <c r="BQ15" s="21">
        <f t="shared" si="3"/>
        <v>13556160.002608201</v>
      </c>
    </row>
    <row r="17" spans="1:69" s="8" customFormat="1" x14ac:dyDescent="0.25">
      <c r="A17" s="7" t="s">
        <v>184</v>
      </c>
    </row>
    <row r="18" spans="1:69" s="15" customFormat="1" x14ac:dyDescent="0.25">
      <c r="A18" s="23" t="s">
        <v>0</v>
      </c>
      <c r="B18" s="110" t="s">
        <v>1</v>
      </c>
      <c r="C18" s="110"/>
      <c r="D18" s="110" t="s">
        <v>2</v>
      </c>
      <c r="E18" s="110"/>
      <c r="F18" s="110" t="s">
        <v>3</v>
      </c>
      <c r="G18" s="110"/>
      <c r="H18" s="110" t="s">
        <v>4</v>
      </c>
      <c r="I18" s="110"/>
      <c r="J18" s="110" t="s">
        <v>5</v>
      </c>
      <c r="K18" s="110"/>
      <c r="L18" s="110" t="s">
        <v>6</v>
      </c>
      <c r="M18" s="110"/>
      <c r="N18" s="110" t="s">
        <v>7</v>
      </c>
      <c r="O18" s="110"/>
      <c r="P18" s="110" t="s">
        <v>8</v>
      </c>
      <c r="Q18" s="110"/>
      <c r="R18" s="110" t="s">
        <v>9</v>
      </c>
      <c r="S18" s="110"/>
      <c r="T18" s="110" t="s">
        <v>10</v>
      </c>
      <c r="U18" s="110"/>
      <c r="V18" s="110" t="s">
        <v>11</v>
      </c>
      <c r="W18" s="110"/>
      <c r="X18" s="110" t="s">
        <v>12</v>
      </c>
      <c r="Y18" s="110"/>
      <c r="Z18" s="110" t="s">
        <v>13</v>
      </c>
      <c r="AA18" s="110"/>
      <c r="AB18" s="110" t="s">
        <v>14</v>
      </c>
      <c r="AC18" s="110"/>
      <c r="AD18" s="110" t="s">
        <v>15</v>
      </c>
      <c r="AE18" s="110"/>
      <c r="AF18" s="110" t="s">
        <v>16</v>
      </c>
      <c r="AG18" s="110"/>
      <c r="AH18" s="110" t="s">
        <v>17</v>
      </c>
      <c r="AI18" s="110"/>
      <c r="AJ18" s="110" t="s">
        <v>18</v>
      </c>
      <c r="AK18" s="110"/>
      <c r="AL18" s="110" t="s">
        <v>19</v>
      </c>
      <c r="AM18" s="110"/>
      <c r="AN18" s="110" t="s">
        <v>20</v>
      </c>
      <c r="AO18" s="110"/>
      <c r="AP18" s="110" t="s">
        <v>21</v>
      </c>
      <c r="AQ18" s="110"/>
      <c r="AR18" s="110" t="s">
        <v>161</v>
      </c>
      <c r="AS18" s="110"/>
      <c r="AT18" s="110" t="s">
        <v>162</v>
      </c>
      <c r="AU18" s="110"/>
      <c r="AV18" s="110" t="s">
        <v>22</v>
      </c>
      <c r="AW18" s="110"/>
      <c r="AX18" s="110" t="s">
        <v>23</v>
      </c>
      <c r="AY18" s="110"/>
      <c r="AZ18" s="110" t="s">
        <v>24</v>
      </c>
      <c r="BA18" s="110"/>
      <c r="BB18" s="110" t="s">
        <v>25</v>
      </c>
      <c r="BC18" s="110"/>
      <c r="BD18" s="110" t="s">
        <v>26</v>
      </c>
      <c r="BE18" s="110"/>
      <c r="BF18" s="110" t="s">
        <v>27</v>
      </c>
      <c r="BG18" s="110"/>
      <c r="BH18" s="110" t="s">
        <v>28</v>
      </c>
      <c r="BI18" s="110"/>
      <c r="BJ18" s="110" t="s">
        <v>29</v>
      </c>
      <c r="BK18" s="110"/>
      <c r="BL18" s="110" t="s">
        <v>30</v>
      </c>
      <c r="BM18" s="110"/>
      <c r="BN18" s="110" t="s">
        <v>31</v>
      </c>
      <c r="BO18" s="110"/>
      <c r="BP18" s="110" t="s">
        <v>304</v>
      </c>
      <c r="BQ18" s="110"/>
    </row>
    <row r="19" spans="1:69" s="43" customFormat="1" ht="44.25" customHeight="1" x14ac:dyDescent="0.25">
      <c r="A19" s="44"/>
      <c r="B19" s="44" t="s">
        <v>286</v>
      </c>
      <c r="C19" s="44" t="s">
        <v>287</v>
      </c>
      <c r="D19" s="44" t="s">
        <v>286</v>
      </c>
      <c r="E19" s="44" t="s">
        <v>287</v>
      </c>
      <c r="F19" s="44" t="s">
        <v>286</v>
      </c>
      <c r="G19" s="44" t="s">
        <v>287</v>
      </c>
      <c r="H19" s="44" t="s">
        <v>286</v>
      </c>
      <c r="I19" s="44" t="s">
        <v>287</v>
      </c>
      <c r="J19" s="44" t="s">
        <v>286</v>
      </c>
      <c r="K19" s="44" t="s">
        <v>287</v>
      </c>
      <c r="L19" s="44" t="s">
        <v>286</v>
      </c>
      <c r="M19" s="44" t="s">
        <v>287</v>
      </c>
      <c r="N19" s="44" t="s">
        <v>286</v>
      </c>
      <c r="O19" s="44" t="s">
        <v>287</v>
      </c>
      <c r="P19" s="44" t="s">
        <v>286</v>
      </c>
      <c r="Q19" s="44" t="s">
        <v>287</v>
      </c>
      <c r="R19" s="44" t="s">
        <v>286</v>
      </c>
      <c r="S19" s="44" t="s">
        <v>287</v>
      </c>
      <c r="T19" s="44" t="s">
        <v>286</v>
      </c>
      <c r="U19" s="44" t="s">
        <v>287</v>
      </c>
      <c r="V19" s="44" t="s">
        <v>286</v>
      </c>
      <c r="W19" s="44" t="s">
        <v>287</v>
      </c>
      <c r="X19" s="44" t="s">
        <v>286</v>
      </c>
      <c r="Y19" s="44" t="s">
        <v>287</v>
      </c>
      <c r="Z19" s="44" t="s">
        <v>286</v>
      </c>
      <c r="AA19" s="44" t="s">
        <v>287</v>
      </c>
      <c r="AB19" s="44" t="s">
        <v>286</v>
      </c>
      <c r="AC19" s="44" t="s">
        <v>287</v>
      </c>
      <c r="AD19" s="44" t="s">
        <v>286</v>
      </c>
      <c r="AE19" s="44" t="s">
        <v>287</v>
      </c>
      <c r="AF19" s="44" t="s">
        <v>286</v>
      </c>
      <c r="AG19" s="44" t="s">
        <v>287</v>
      </c>
      <c r="AH19" s="44" t="s">
        <v>286</v>
      </c>
      <c r="AI19" s="44" t="s">
        <v>287</v>
      </c>
      <c r="AJ19" s="44" t="s">
        <v>286</v>
      </c>
      <c r="AK19" s="44" t="s">
        <v>287</v>
      </c>
      <c r="AL19" s="44" t="s">
        <v>286</v>
      </c>
      <c r="AM19" s="44" t="s">
        <v>287</v>
      </c>
      <c r="AN19" s="44" t="s">
        <v>286</v>
      </c>
      <c r="AO19" s="44" t="s">
        <v>287</v>
      </c>
      <c r="AP19" s="44" t="s">
        <v>286</v>
      </c>
      <c r="AQ19" s="44" t="s">
        <v>287</v>
      </c>
      <c r="AR19" s="44" t="s">
        <v>286</v>
      </c>
      <c r="AS19" s="44" t="s">
        <v>287</v>
      </c>
      <c r="AT19" s="44" t="s">
        <v>286</v>
      </c>
      <c r="AU19" s="44" t="s">
        <v>287</v>
      </c>
      <c r="AV19" s="44" t="s">
        <v>286</v>
      </c>
      <c r="AW19" s="44" t="s">
        <v>287</v>
      </c>
      <c r="AX19" s="44" t="s">
        <v>286</v>
      </c>
      <c r="AY19" s="44" t="s">
        <v>287</v>
      </c>
      <c r="AZ19" s="44" t="s">
        <v>286</v>
      </c>
      <c r="BA19" s="44" t="s">
        <v>287</v>
      </c>
      <c r="BB19" s="44" t="s">
        <v>286</v>
      </c>
      <c r="BC19" s="44" t="s">
        <v>287</v>
      </c>
      <c r="BD19" s="44" t="s">
        <v>286</v>
      </c>
      <c r="BE19" s="44" t="s">
        <v>287</v>
      </c>
      <c r="BF19" s="44" t="s">
        <v>286</v>
      </c>
      <c r="BG19" s="44" t="s">
        <v>287</v>
      </c>
      <c r="BH19" s="44" t="s">
        <v>286</v>
      </c>
      <c r="BI19" s="44" t="s">
        <v>287</v>
      </c>
      <c r="BJ19" s="44" t="s">
        <v>286</v>
      </c>
      <c r="BK19" s="44" t="s">
        <v>287</v>
      </c>
      <c r="BL19" s="44" t="s">
        <v>286</v>
      </c>
      <c r="BM19" s="44" t="s">
        <v>287</v>
      </c>
      <c r="BN19" s="44" t="s">
        <v>286</v>
      </c>
      <c r="BO19" s="44" t="s">
        <v>287</v>
      </c>
      <c r="BP19" s="44" t="s">
        <v>286</v>
      </c>
      <c r="BQ19" s="44" t="s">
        <v>287</v>
      </c>
    </row>
    <row r="20" spans="1:69" ht="30" x14ac:dyDescent="0.25">
      <c r="A20" s="25" t="s">
        <v>68</v>
      </c>
      <c r="B20" s="21">
        <v>274137</v>
      </c>
      <c r="C20" s="21">
        <v>374163</v>
      </c>
      <c r="D20" s="21"/>
      <c r="E20" s="21"/>
      <c r="F20" s="21"/>
      <c r="G20" s="21"/>
      <c r="H20" s="21"/>
      <c r="I20" s="21"/>
      <c r="J20" s="21">
        <v>12908282</v>
      </c>
      <c r="K20" s="21">
        <v>35079285</v>
      </c>
      <c r="L20" s="21">
        <v>3111059</v>
      </c>
      <c r="M20" s="21">
        <v>7987767</v>
      </c>
      <c r="N20" s="21">
        <v>7564427</v>
      </c>
      <c r="O20" s="21">
        <v>20923536</v>
      </c>
      <c r="P20" s="21"/>
      <c r="Q20" s="21"/>
      <c r="R20" s="21">
        <v>41199</v>
      </c>
      <c r="S20" s="21">
        <v>43592</v>
      </c>
      <c r="T20" s="21">
        <v>124212</v>
      </c>
      <c r="U20" s="21">
        <v>128357</v>
      </c>
      <c r="V20" s="21"/>
      <c r="W20" s="21"/>
      <c r="X20" s="21">
        <f>1283655+1474673</f>
        <v>2758328</v>
      </c>
      <c r="Y20" s="21">
        <f>3591599+4490545</f>
        <v>8082144</v>
      </c>
      <c r="Z20" s="21">
        <v>2418336</v>
      </c>
      <c r="AA20" s="21">
        <v>5025949</v>
      </c>
      <c r="AB20" s="21">
        <f>3941290+4516416</f>
        <v>8457706</v>
      </c>
      <c r="AC20" s="21">
        <f>9416815+11897341</f>
        <v>21314156</v>
      </c>
      <c r="AD20" s="21">
        <v>19857814</v>
      </c>
      <c r="AE20" s="21">
        <v>46028899</v>
      </c>
      <c r="AF20" s="21">
        <v>8754548</v>
      </c>
      <c r="AG20" s="21">
        <v>23295702</v>
      </c>
      <c r="AH20" s="21">
        <v>600449</v>
      </c>
      <c r="AI20" s="21">
        <v>1426216</v>
      </c>
      <c r="AJ20" s="21">
        <v>2094476</v>
      </c>
      <c r="AK20" s="21">
        <v>5445284</v>
      </c>
      <c r="AL20" s="21">
        <v>2080810</v>
      </c>
      <c r="AM20" s="21">
        <v>5192839</v>
      </c>
      <c r="AN20" s="21"/>
      <c r="AO20" s="21"/>
      <c r="AP20" s="21">
        <v>15488821.5427255</v>
      </c>
      <c r="AQ20" s="21">
        <v>45125252.526023105</v>
      </c>
      <c r="AR20" s="21">
        <v>26104207</v>
      </c>
      <c r="AS20" s="21">
        <v>74548286</v>
      </c>
      <c r="AT20" s="21">
        <v>12142535</v>
      </c>
      <c r="AU20" s="21">
        <v>34193372</v>
      </c>
      <c r="AV20" s="21">
        <f>476+155335</f>
        <v>155811</v>
      </c>
      <c r="AW20" s="21">
        <f>2180+582</f>
        <v>2762</v>
      </c>
      <c r="AX20" s="21">
        <v>7491214</v>
      </c>
      <c r="AY20" s="21">
        <v>22102868</v>
      </c>
      <c r="AZ20" s="21"/>
      <c r="BA20" s="21"/>
      <c r="BB20" s="21">
        <v>5126018</v>
      </c>
      <c r="BC20" s="21">
        <v>15632271</v>
      </c>
      <c r="BD20" s="21">
        <v>2265114</v>
      </c>
      <c r="BE20" s="21">
        <v>6884864</v>
      </c>
      <c r="BF20" s="21">
        <v>5477955</v>
      </c>
      <c r="BG20" s="21">
        <v>15849376</v>
      </c>
      <c r="BH20" s="21"/>
      <c r="BI20" s="21"/>
      <c r="BJ20" s="21">
        <v>10577279</v>
      </c>
      <c r="BK20" s="21">
        <v>27482383</v>
      </c>
      <c r="BL20" s="21">
        <v>16874116</v>
      </c>
      <c r="BM20" s="21">
        <v>48654082</v>
      </c>
      <c r="BN20" s="21">
        <f>891186+1149454</f>
        <v>2040640</v>
      </c>
      <c r="BO20" s="21">
        <f>2221573+2480486</f>
        <v>4702059</v>
      </c>
      <c r="BP20" s="21">
        <f t="shared" ref="BP20:BP22" si="4">B20+D20+F20+H20+J20+L20+N20+P20+R20+T20+V20+X20+Z20+AB20+AD20+AF20+AH20+AJ20+AL20+AN20+AP20+AR20+AT20+AV20+AX20+AZ20+BB20+BD20+BF20+BH20+BJ20+BL20+BN20</f>
        <v>174789493.5427255</v>
      </c>
      <c r="BQ20" s="21">
        <f t="shared" ref="BQ20:BQ22" si="5">C20+E20+G20+I20+K20+M20+O20+Q20+S20+U20+W20+Y20+AA20+AC20+AE20+AG20+AI20+AK20+AM20+AO20+AQ20+AS20+AU20+AW20+AY20+BA20+BC20+BE20+BG20+BI20+BK20+BM20+BO20</f>
        <v>475525464.52602309</v>
      </c>
    </row>
    <row r="21" spans="1:69" s="10" customFormat="1" x14ac:dyDescent="0.25">
      <c r="A21" s="25" t="s">
        <v>213</v>
      </c>
      <c r="B21" s="45">
        <v>203151</v>
      </c>
      <c r="C21" s="45">
        <v>271596</v>
      </c>
      <c r="D21" s="45"/>
      <c r="E21" s="45"/>
      <c r="F21" s="45"/>
      <c r="G21" s="45"/>
      <c r="H21" s="45"/>
      <c r="I21" s="45"/>
      <c r="J21" s="45">
        <v>12238055</v>
      </c>
      <c r="K21" s="45">
        <v>33249029</v>
      </c>
      <c r="L21" s="45">
        <v>2929669</v>
      </c>
      <c r="M21" s="45">
        <v>7523629</v>
      </c>
      <c r="N21" s="45">
        <v>6644332</v>
      </c>
      <c r="O21" s="45">
        <v>18369323</v>
      </c>
      <c r="P21" s="45"/>
      <c r="Q21" s="45"/>
      <c r="R21" s="45">
        <v>36426</v>
      </c>
      <c r="S21" s="45">
        <v>38644</v>
      </c>
      <c r="T21" s="45"/>
      <c r="U21" s="45"/>
      <c r="V21" s="45"/>
      <c r="W21" s="45"/>
      <c r="X21" s="45">
        <f>1392667+1214800</f>
        <v>2607467</v>
      </c>
      <c r="Y21" s="45">
        <f>3383119+4241044</f>
        <v>7624163</v>
      </c>
      <c r="Z21" s="45">
        <v>2259126</v>
      </c>
      <c r="AA21" s="45">
        <v>4686250</v>
      </c>
      <c r="AB21" s="45">
        <f>3239894+3781225</f>
        <v>7021119</v>
      </c>
      <c r="AC21" s="45">
        <f>7319434+9269335</f>
        <v>16588769</v>
      </c>
      <c r="AD21" s="45">
        <v>18269948</v>
      </c>
      <c r="AE21" s="45">
        <v>41761674</v>
      </c>
      <c r="AF21" s="45">
        <v>7416845</v>
      </c>
      <c r="AG21" s="45">
        <v>19744322</v>
      </c>
      <c r="AH21" s="45">
        <v>563460</v>
      </c>
      <c r="AI21" s="45">
        <v>1338680</v>
      </c>
      <c r="AJ21" s="45">
        <v>1990679</v>
      </c>
      <c r="AK21" s="45">
        <v>5095697</v>
      </c>
      <c r="AL21" s="45">
        <v>1453655</v>
      </c>
      <c r="AM21" s="45">
        <v>2675588</v>
      </c>
      <c r="AN21" s="45"/>
      <c r="AO21" s="45"/>
      <c r="AP21" s="45">
        <v>11620475.447161099</v>
      </c>
      <c r="AQ21" s="45">
        <v>33836140.757533103</v>
      </c>
      <c r="AR21" s="45">
        <v>24648445</v>
      </c>
      <c r="AS21" s="45">
        <v>70492933</v>
      </c>
      <c r="AT21" s="45">
        <v>11508667</v>
      </c>
      <c r="AU21" s="45">
        <v>32401434</v>
      </c>
      <c r="AV21" s="45">
        <f>445+144100</f>
        <v>144545</v>
      </c>
      <c r="AW21" s="45">
        <f>2038+460</f>
        <v>2498</v>
      </c>
      <c r="AX21" s="45">
        <v>5475097</v>
      </c>
      <c r="AY21" s="45">
        <v>16342386</v>
      </c>
      <c r="AZ21" s="45"/>
      <c r="BA21" s="45"/>
      <c r="BB21" s="45">
        <v>4258022</v>
      </c>
      <c r="BC21" s="45">
        <v>12898265</v>
      </c>
      <c r="BD21" s="45">
        <v>2098968</v>
      </c>
      <c r="BE21" s="45">
        <v>6388093</v>
      </c>
      <c r="BF21" s="45">
        <v>5168705</v>
      </c>
      <c r="BG21" s="45">
        <v>14968467</v>
      </c>
      <c r="BH21" s="45"/>
      <c r="BI21" s="45"/>
      <c r="BJ21" s="45">
        <v>8452543</v>
      </c>
      <c r="BK21" s="45">
        <v>21705339</v>
      </c>
      <c r="BL21" s="45">
        <v>15974531</v>
      </c>
      <c r="BM21" s="45">
        <v>46153335</v>
      </c>
      <c r="BN21" s="45">
        <v>1900064</v>
      </c>
      <c r="BO21" s="45">
        <v>4344558</v>
      </c>
      <c r="BP21" s="21">
        <f t="shared" si="4"/>
        <v>154883994.44716108</v>
      </c>
      <c r="BQ21" s="21">
        <f t="shared" si="5"/>
        <v>418500812.75753307</v>
      </c>
    </row>
    <row r="22" spans="1:69" s="10" customFormat="1" x14ac:dyDescent="0.25">
      <c r="A22" s="25" t="s">
        <v>266</v>
      </c>
      <c r="B22" s="45">
        <v>38687</v>
      </c>
      <c r="C22" s="45">
        <v>44606</v>
      </c>
      <c r="D22" s="45"/>
      <c r="E22" s="45"/>
      <c r="F22" s="45"/>
      <c r="G22" s="45"/>
      <c r="H22" s="45"/>
      <c r="I22" s="45"/>
      <c r="J22" s="45">
        <v>10863262</v>
      </c>
      <c r="K22" s="45">
        <v>30978275</v>
      </c>
      <c r="L22" s="45">
        <v>2553753</v>
      </c>
      <c r="M22" s="45">
        <v>7588027</v>
      </c>
      <c r="N22" s="45">
        <v>6087790</v>
      </c>
      <c r="O22" s="45">
        <v>17867653</v>
      </c>
      <c r="P22" s="45"/>
      <c r="Q22" s="45"/>
      <c r="R22" s="45">
        <v>16856</v>
      </c>
      <c r="S22" s="45">
        <v>17938</v>
      </c>
      <c r="T22" s="45">
        <v>7561</v>
      </c>
      <c r="U22" s="45">
        <v>2799</v>
      </c>
      <c r="V22" s="45"/>
      <c r="W22" s="45"/>
      <c r="X22" s="45">
        <f>1167063+1385204</f>
        <v>2552267</v>
      </c>
      <c r="Y22" s="45">
        <f>3547287+4001989</f>
        <v>7549276</v>
      </c>
      <c r="Z22" s="45">
        <v>1073361</v>
      </c>
      <c r="AA22" s="45">
        <v>1944382</v>
      </c>
      <c r="AB22" s="45">
        <f>2369904+3278519</f>
        <v>5648423</v>
      </c>
      <c r="AC22" s="45">
        <f>6082281+8634560</f>
        <v>14716841</v>
      </c>
      <c r="AD22" s="45">
        <v>12868877</v>
      </c>
      <c r="AE22" s="45">
        <v>36696947</v>
      </c>
      <c r="AF22" s="45">
        <v>6673350</v>
      </c>
      <c r="AG22" s="45">
        <v>19489842</v>
      </c>
      <c r="AH22" s="45">
        <v>404490</v>
      </c>
      <c r="AI22" s="45">
        <v>1095475</v>
      </c>
      <c r="AJ22" s="45">
        <v>1572544</v>
      </c>
      <c r="AK22" s="45">
        <v>4264370</v>
      </c>
      <c r="AL22" s="45">
        <v>1273290</v>
      </c>
      <c r="AM22" s="45">
        <v>1801255</v>
      </c>
      <c r="AN22" s="45"/>
      <c r="AO22" s="45"/>
      <c r="AP22" s="45">
        <v>12349583.674161099</v>
      </c>
      <c r="AQ22" s="45">
        <v>36091748.9395331</v>
      </c>
      <c r="AR22" s="45">
        <v>25055948</v>
      </c>
      <c r="AS22" s="45">
        <v>74044907</v>
      </c>
      <c r="AT22" s="45">
        <v>11156030</v>
      </c>
      <c r="AU22" s="45">
        <v>31316254</v>
      </c>
      <c r="AV22" s="45">
        <f>669+151545</f>
        <v>152214</v>
      </c>
      <c r="AW22" s="45">
        <f>1671+451</f>
        <v>2122</v>
      </c>
      <c r="AX22" s="45">
        <v>5163522</v>
      </c>
      <c r="AY22" s="45">
        <v>15344044</v>
      </c>
      <c r="AZ22" s="45"/>
      <c r="BA22" s="45"/>
      <c r="BB22" s="45">
        <v>4420579</v>
      </c>
      <c r="BC22" s="45">
        <v>13043106</v>
      </c>
      <c r="BD22" s="45">
        <v>2338868</v>
      </c>
      <c r="BE22" s="45">
        <v>7123069</v>
      </c>
      <c r="BF22" s="45">
        <v>5154114</v>
      </c>
      <c r="BG22" s="45">
        <v>14988304</v>
      </c>
      <c r="BH22" s="45"/>
      <c r="BI22" s="45"/>
      <c r="BJ22" s="45">
        <v>7162104</v>
      </c>
      <c r="BK22" s="45">
        <v>20500161</v>
      </c>
      <c r="BL22" s="45">
        <v>12939678</v>
      </c>
      <c r="BM22" s="45">
        <v>43690194</v>
      </c>
      <c r="BN22" s="45">
        <v>1430914</v>
      </c>
      <c r="BO22" s="45">
        <v>4404293</v>
      </c>
      <c r="BP22" s="21">
        <f t="shared" si="4"/>
        <v>138958065.67416111</v>
      </c>
      <c r="BQ22" s="21">
        <f t="shared" si="5"/>
        <v>404605888.93953311</v>
      </c>
    </row>
    <row r="24" spans="1:69" s="8" customFormat="1" x14ac:dyDescent="0.25">
      <c r="A24" s="7" t="s">
        <v>157</v>
      </c>
    </row>
    <row r="25" spans="1:69" s="15" customFormat="1" x14ac:dyDescent="0.25">
      <c r="A25" s="23" t="s">
        <v>0</v>
      </c>
      <c r="B25" s="110" t="s">
        <v>1</v>
      </c>
      <c r="C25" s="110"/>
      <c r="D25" s="110" t="s">
        <v>2</v>
      </c>
      <c r="E25" s="110"/>
      <c r="F25" s="110" t="s">
        <v>3</v>
      </c>
      <c r="G25" s="110"/>
      <c r="H25" s="110" t="s">
        <v>4</v>
      </c>
      <c r="I25" s="110"/>
      <c r="J25" s="110" t="s">
        <v>5</v>
      </c>
      <c r="K25" s="110"/>
      <c r="L25" s="110" t="s">
        <v>6</v>
      </c>
      <c r="M25" s="110"/>
      <c r="N25" s="110" t="s">
        <v>7</v>
      </c>
      <c r="O25" s="110"/>
      <c r="P25" s="110" t="s">
        <v>8</v>
      </c>
      <c r="Q25" s="110"/>
      <c r="R25" s="110" t="s">
        <v>9</v>
      </c>
      <c r="S25" s="110"/>
      <c r="T25" s="110" t="s">
        <v>10</v>
      </c>
      <c r="U25" s="110"/>
      <c r="V25" s="110" t="s">
        <v>11</v>
      </c>
      <c r="W25" s="110"/>
      <c r="X25" s="110" t="s">
        <v>12</v>
      </c>
      <c r="Y25" s="110"/>
      <c r="Z25" s="110" t="s">
        <v>13</v>
      </c>
      <c r="AA25" s="110"/>
      <c r="AB25" s="110" t="s">
        <v>14</v>
      </c>
      <c r="AC25" s="110"/>
      <c r="AD25" s="110" t="s">
        <v>15</v>
      </c>
      <c r="AE25" s="110"/>
      <c r="AF25" s="110" t="s">
        <v>16</v>
      </c>
      <c r="AG25" s="110"/>
      <c r="AH25" s="110" t="s">
        <v>17</v>
      </c>
      <c r="AI25" s="110"/>
      <c r="AJ25" s="110" t="s">
        <v>18</v>
      </c>
      <c r="AK25" s="110"/>
      <c r="AL25" s="110" t="s">
        <v>19</v>
      </c>
      <c r="AM25" s="110"/>
      <c r="AN25" s="110" t="s">
        <v>20</v>
      </c>
      <c r="AO25" s="110"/>
      <c r="AP25" s="110" t="s">
        <v>21</v>
      </c>
      <c r="AQ25" s="110"/>
      <c r="AR25" s="110" t="s">
        <v>161</v>
      </c>
      <c r="AS25" s="110"/>
      <c r="AT25" s="110" t="s">
        <v>162</v>
      </c>
      <c r="AU25" s="110"/>
      <c r="AV25" s="110" t="s">
        <v>22</v>
      </c>
      <c r="AW25" s="110"/>
      <c r="AX25" s="110" t="s">
        <v>23</v>
      </c>
      <c r="AY25" s="110"/>
      <c r="AZ25" s="110" t="s">
        <v>24</v>
      </c>
      <c r="BA25" s="110"/>
      <c r="BB25" s="110" t="s">
        <v>25</v>
      </c>
      <c r="BC25" s="110"/>
      <c r="BD25" s="110" t="s">
        <v>26</v>
      </c>
      <c r="BE25" s="110"/>
      <c r="BF25" s="110" t="s">
        <v>27</v>
      </c>
      <c r="BG25" s="110"/>
      <c r="BH25" s="110" t="s">
        <v>28</v>
      </c>
      <c r="BI25" s="110"/>
      <c r="BJ25" s="110" t="s">
        <v>29</v>
      </c>
      <c r="BK25" s="110"/>
      <c r="BL25" s="110" t="s">
        <v>30</v>
      </c>
      <c r="BM25" s="110"/>
      <c r="BN25" s="110" t="s">
        <v>31</v>
      </c>
      <c r="BO25" s="110"/>
      <c r="BP25" s="110" t="s">
        <v>304</v>
      </c>
      <c r="BQ25" s="110"/>
    </row>
    <row r="26" spans="1:69" s="43" customFormat="1" ht="44.25" customHeight="1" x14ac:dyDescent="0.25">
      <c r="A26" s="44"/>
      <c r="B26" s="44" t="s">
        <v>286</v>
      </c>
      <c r="C26" s="44" t="s">
        <v>287</v>
      </c>
      <c r="D26" s="44" t="s">
        <v>286</v>
      </c>
      <c r="E26" s="44" t="s">
        <v>287</v>
      </c>
      <c r="F26" s="44" t="s">
        <v>286</v>
      </c>
      <c r="G26" s="44" t="s">
        <v>287</v>
      </c>
      <c r="H26" s="44" t="s">
        <v>286</v>
      </c>
      <c r="I26" s="44" t="s">
        <v>287</v>
      </c>
      <c r="J26" s="44" t="s">
        <v>286</v>
      </c>
      <c r="K26" s="44" t="s">
        <v>287</v>
      </c>
      <c r="L26" s="44" t="s">
        <v>286</v>
      </c>
      <c r="M26" s="44" t="s">
        <v>287</v>
      </c>
      <c r="N26" s="44" t="s">
        <v>286</v>
      </c>
      <c r="O26" s="44" t="s">
        <v>287</v>
      </c>
      <c r="P26" s="44" t="s">
        <v>286</v>
      </c>
      <c r="Q26" s="44" t="s">
        <v>287</v>
      </c>
      <c r="R26" s="44" t="s">
        <v>286</v>
      </c>
      <c r="S26" s="44" t="s">
        <v>287</v>
      </c>
      <c r="T26" s="44" t="s">
        <v>286</v>
      </c>
      <c r="U26" s="44" t="s">
        <v>287</v>
      </c>
      <c r="V26" s="44" t="s">
        <v>286</v>
      </c>
      <c r="W26" s="44" t="s">
        <v>287</v>
      </c>
      <c r="X26" s="44" t="s">
        <v>286</v>
      </c>
      <c r="Y26" s="44" t="s">
        <v>287</v>
      </c>
      <c r="Z26" s="44" t="s">
        <v>286</v>
      </c>
      <c r="AA26" s="44" t="s">
        <v>287</v>
      </c>
      <c r="AB26" s="44" t="s">
        <v>286</v>
      </c>
      <c r="AC26" s="44" t="s">
        <v>287</v>
      </c>
      <c r="AD26" s="44" t="s">
        <v>286</v>
      </c>
      <c r="AE26" s="44" t="s">
        <v>287</v>
      </c>
      <c r="AF26" s="44" t="s">
        <v>286</v>
      </c>
      <c r="AG26" s="44" t="s">
        <v>287</v>
      </c>
      <c r="AH26" s="44" t="s">
        <v>286</v>
      </c>
      <c r="AI26" s="44" t="s">
        <v>287</v>
      </c>
      <c r="AJ26" s="44" t="s">
        <v>286</v>
      </c>
      <c r="AK26" s="44" t="s">
        <v>287</v>
      </c>
      <c r="AL26" s="44" t="s">
        <v>286</v>
      </c>
      <c r="AM26" s="44" t="s">
        <v>287</v>
      </c>
      <c r="AN26" s="44" t="s">
        <v>286</v>
      </c>
      <c r="AO26" s="44" t="s">
        <v>287</v>
      </c>
      <c r="AP26" s="44" t="s">
        <v>286</v>
      </c>
      <c r="AQ26" s="44" t="s">
        <v>287</v>
      </c>
      <c r="AR26" s="44" t="s">
        <v>286</v>
      </c>
      <c r="AS26" s="44" t="s">
        <v>287</v>
      </c>
      <c r="AT26" s="44" t="s">
        <v>286</v>
      </c>
      <c r="AU26" s="44" t="s">
        <v>287</v>
      </c>
      <c r="AV26" s="44" t="s">
        <v>286</v>
      </c>
      <c r="AW26" s="44" t="s">
        <v>287</v>
      </c>
      <c r="AX26" s="44" t="s">
        <v>286</v>
      </c>
      <c r="AY26" s="44" t="s">
        <v>287</v>
      </c>
      <c r="AZ26" s="44" t="s">
        <v>286</v>
      </c>
      <c r="BA26" s="44" t="s">
        <v>287</v>
      </c>
      <c r="BB26" s="44" t="s">
        <v>286</v>
      </c>
      <c r="BC26" s="44" t="s">
        <v>287</v>
      </c>
      <c r="BD26" s="44" t="s">
        <v>286</v>
      </c>
      <c r="BE26" s="44" t="s">
        <v>287</v>
      </c>
      <c r="BF26" s="44" t="s">
        <v>286</v>
      </c>
      <c r="BG26" s="44" t="s">
        <v>287</v>
      </c>
      <c r="BH26" s="44" t="s">
        <v>286</v>
      </c>
      <c r="BI26" s="44" t="s">
        <v>287</v>
      </c>
      <c r="BJ26" s="44" t="s">
        <v>286</v>
      </c>
      <c r="BK26" s="44" t="s">
        <v>287</v>
      </c>
      <c r="BL26" s="44" t="s">
        <v>286</v>
      </c>
      <c r="BM26" s="44" t="s">
        <v>287</v>
      </c>
      <c r="BN26" s="44" t="s">
        <v>286</v>
      </c>
      <c r="BO26" s="44" t="s">
        <v>287</v>
      </c>
      <c r="BP26" s="44" t="s">
        <v>286</v>
      </c>
      <c r="BQ26" s="44" t="s">
        <v>287</v>
      </c>
    </row>
    <row r="27" spans="1:69" ht="30" x14ac:dyDescent="0.25">
      <c r="A27" s="25" t="s">
        <v>68</v>
      </c>
      <c r="B27" s="21"/>
      <c r="C27" s="21"/>
      <c r="D27" s="21"/>
      <c r="E27" s="21"/>
      <c r="F27" s="21"/>
      <c r="G27" s="21"/>
      <c r="H27" s="21"/>
      <c r="I27" s="21"/>
      <c r="J27" s="21">
        <v>351120</v>
      </c>
      <c r="K27" s="21">
        <v>1074587</v>
      </c>
      <c r="L27" s="21">
        <v>65191</v>
      </c>
      <c r="M27" s="21">
        <v>192327</v>
      </c>
      <c r="N27" s="21">
        <v>125462</v>
      </c>
      <c r="O27" s="21">
        <v>270852</v>
      </c>
      <c r="P27" s="21"/>
      <c r="Q27" s="21"/>
      <c r="R27" s="21"/>
      <c r="S27" s="21">
        <v>8856</v>
      </c>
      <c r="T27" s="21"/>
      <c r="U27" s="21"/>
      <c r="V27" s="21"/>
      <c r="W27" s="21"/>
      <c r="X27" s="21">
        <v>92716</v>
      </c>
      <c r="Y27" s="21">
        <v>314259</v>
      </c>
      <c r="Z27" s="21">
        <v>17421</v>
      </c>
      <c r="AA27" s="21">
        <v>17421</v>
      </c>
      <c r="AB27" s="21">
        <v>472246</v>
      </c>
      <c r="AC27" s="21">
        <v>1148439</v>
      </c>
      <c r="AD27" s="21">
        <v>679136</v>
      </c>
      <c r="AE27" s="21">
        <v>2198656</v>
      </c>
      <c r="AF27" s="21">
        <v>212538</v>
      </c>
      <c r="AG27" s="21">
        <v>585143</v>
      </c>
      <c r="AH27" s="21">
        <v>1320</v>
      </c>
      <c r="AI27" s="21">
        <v>1788</v>
      </c>
      <c r="AJ27" s="21">
        <v>47019</v>
      </c>
      <c r="AK27" s="21">
        <v>190358</v>
      </c>
      <c r="AL27" s="21">
        <v>15925</v>
      </c>
      <c r="AM27" s="21">
        <v>49437</v>
      </c>
      <c r="AN27" s="21"/>
      <c r="AO27" s="21"/>
      <c r="AP27" s="21">
        <v>481895.23411970027</v>
      </c>
      <c r="AQ27" s="21">
        <v>1591372.4437877003</v>
      </c>
      <c r="AR27" s="21">
        <v>1307398</v>
      </c>
      <c r="AS27" s="21">
        <v>3825657</v>
      </c>
      <c r="AT27" s="21">
        <v>525733</v>
      </c>
      <c r="AU27" s="21">
        <v>1784081</v>
      </c>
      <c r="AV27" s="21">
        <v>1268</v>
      </c>
      <c r="AW27" s="21">
        <v>4259</v>
      </c>
      <c r="AX27" s="21">
        <v>250070</v>
      </c>
      <c r="AY27" s="21">
        <v>617732</v>
      </c>
      <c r="AZ27" s="21"/>
      <c r="BA27" s="21"/>
      <c r="BB27" s="21">
        <v>157918</v>
      </c>
      <c r="BC27" s="21">
        <v>463983</v>
      </c>
      <c r="BD27" s="21">
        <v>81321</v>
      </c>
      <c r="BE27" s="21">
        <v>224885</v>
      </c>
      <c r="BF27" s="21">
        <v>39545</v>
      </c>
      <c r="BG27" s="21">
        <v>110180</v>
      </c>
      <c r="BH27" s="21"/>
      <c r="BI27" s="21"/>
      <c r="BJ27" s="21">
        <v>219271</v>
      </c>
      <c r="BK27" s="21">
        <v>806144</v>
      </c>
      <c r="BL27" s="21">
        <v>945836</v>
      </c>
      <c r="BM27" s="21">
        <v>2792880</v>
      </c>
      <c r="BN27" s="21">
        <v>26697</v>
      </c>
      <c r="BO27" s="21">
        <v>69783</v>
      </c>
      <c r="BP27" s="21">
        <f t="shared" ref="BP27:BP29" si="6">B27+D27+F27+H27+J27+L27+N27+P27+R27+T27+V27+X27+Z27+AB27+AD27+AF27+AH27+AJ27+AL27+AN27+AP27+AR27+AT27+AV27+AX27+AZ27+BB27+BD27+BF27+BH27+BJ27+BL27+BN27</f>
        <v>6117046.2341197003</v>
      </c>
      <c r="BQ27" s="21">
        <f t="shared" ref="BQ27:BQ29" si="7">C27+E27+G27+I27+K27+M27+O27+Q27+S27+U27+W27+Y27+AA27+AC27+AE27+AG27+AI27+AK27+AM27+AO27+AQ27+AS27+AU27+AW27+AY27+BA27+BC27+BE27+BG27+BI27+BK27+BM27+BO27</f>
        <v>18343079.443787701</v>
      </c>
    </row>
    <row r="28" spans="1:69" s="10" customFormat="1" x14ac:dyDescent="0.25">
      <c r="A28" s="25" t="s">
        <v>213</v>
      </c>
      <c r="B28" s="45"/>
      <c r="C28" s="45"/>
      <c r="D28" s="45"/>
      <c r="E28" s="45"/>
      <c r="F28" s="45"/>
      <c r="G28" s="45"/>
      <c r="H28" s="45"/>
      <c r="I28" s="45"/>
      <c r="J28" s="45">
        <v>69116</v>
      </c>
      <c r="K28" s="45">
        <v>193814</v>
      </c>
      <c r="L28" s="45">
        <v>16853</v>
      </c>
      <c r="M28" s="45">
        <v>47479</v>
      </c>
      <c r="N28" s="45">
        <v>32564</v>
      </c>
      <c r="O28" s="45">
        <v>87990</v>
      </c>
      <c r="P28" s="45"/>
      <c r="Q28" s="45"/>
      <c r="R28" s="45">
        <v>246</v>
      </c>
      <c r="S28" s="45">
        <v>1283</v>
      </c>
      <c r="T28" s="45"/>
      <c r="U28" s="45"/>
      <c r="V28" s="45"/>
      <c r="W28" s="45"/>
      <c r="X28" s="45">
        <v>24750</v>
      </c>
      <c r="Y28" s="45">
        <v>73693</v>
      </c>
      <c r="Z28" s="45">
        <v>2693</v>
      </c>
      <c r="AA28" s="45">
        <v>5899</v>
      </c>
      <c r="AB28" s="45">
        <v>100610</v>
      </c>
      <c r="AC28" s="45">
        <v>276515</v>
      </c>
      <c r="AD28" s="45">
        <v>229733</v>
      </c>
      <c r="AE28" s="45">
        <v>736958</v>
      </c>
      <c r="AF28" s="45">
        <v>48453</v>
      </c>
      <c r="AG28" s="45">
        <v>128886</v>
      </c>
      <c r="AH28" s="45">
        <v>1396</v>
      </c>
      <c r="AI28" s="45">
        <v>3899</v>
      </c>
      <c r="AJ28" s="45">
        <v>13978</v>
      </c>
      <c r="AK28" s="45">
        <v>41020</v>
      </c>
      <c r="AL28" s="45">
        <v>3999</v>
      </c>
      <c r="AM28" s="45">
        <v>11794</v>
      </c>
      <c r="AN28" s="45"/>
      <c r="AO28" s="45"/>
      <c r="AP28" s="45">
        <v>464274.59406800021</v>
      </c>
      <c r="AQ28" s="45">
        <v>1289734.3000272</v>
      </c>
      <c r="AR28" s="45">
        <v>839852</v>
      </c>
      <c r="AS28" s="45">
        <v>2497996</v>
      </c>
      <c r="AT28" s="45">
        <v>504572</v>
      </c>
      <c r="AU28" s="45">
        <v>1489491</v>
      </c>
      <c r="AV28" s="45">
        <v>373</v>
      </c>
      <c r="AW28" s="45">
        <v>1543</v>
      </c>
      <c r="AX28" s="45">
        <v>68596</v>
      </c>
      <c r="AY28" s="45">
        <v>184118</v>
      </c>
      <c r="AZ28" s="45"/>
      <c r="BA28" s="45"/>
      <c r="BB28" s="45">
        <v>22408</v>
      </c>
      <c r="BC28" s="45">
        <v>60828</v>
      </c>
      <c r="BD28" s="45">
        <v>30722</v>
      </c>
      <c r="BE28" s="45">
        <v>79050</v>
      </c>
      <c r="BF28" s="45">
        <v>20970</v>
      </c>
      <c r="BG28" s="45">
        <v>60551</v>
      </c>
      <c r="BH28" s="45"/>
      <c r="BI28" s="45"/>
      <c r="BJ28" s="45">
        <v>20208</v>
      </c>
      <c r="BK28" s="45">
        <v>52683</v>
      </c>
      <c r="BL28" s="45">
        <v>476333</v>
      </c>
      <c r="BM28" s="45">
        <v>1461729</v>
      </c>
      <c r="BN28" s="45">
        <v>6512</v>
      </c>
      <c r="BO28" s="45">
        <v>19592</v>
      </c>
      <c r="BP28" s="21">
        <f t="shared" si="6"/>
        <v>2999211.5940680001</v>
      </c>
      <c r="BQ28" s="21">
        <f t="shared" si="7"/>
        <v>8806545.3000271991</v>
      </c>
    </row>
    <row r="29" spans="1:69" s="10" customFormat="1" x14ac:dyDescent="0.25">
      <c r="A29" s="25" t="s">
        <v>266</v>
      </c>
      <c r="B29" s="45"/>
      <c r="C29" s="45"/>
      <c r="D29" s="45"/>
      <c r="E29" s="45"/>
      <c r="F29" s="45"/>
      <c r="G29" s="45"/>
      <c r="H29" s="45"/>
      <c r="I29" s="45"/>
      <c r="J29" s="45">
        <v>87513</v>
      </c>
      <c r="K29" s="45">
        <v>194041</v>
      </c>
      <c r="L29" s="45">
        <v>13768</v>
      </c>
      <c r="M29" s="45">
        <v>35009</v>
      </c>
      <c r="N29" s="45">
        <v>27688</v>
      </c>
      <c r="O29" s="45">
        <v>76833</v>
      </c>
      <c r="P29" s="45"/>
      <c r="Q29" s="45"/>
      <c r="R29" s="45">
        <v>102</v>
      </c>
      <c r="S29" s="45">
        <v>596</v>
      </c>
      <c r="T29" s="45">
        <v>761</v>
      </c>
      <c r="U29" s="45">
        <v>2658</v>
      </c>
      <c r="V29" s="45"/>
      <c r="W29" s="45"/>
      <c r="X29" s="45">
        <v>27475</v>
      </c>
      <c r="Y29" s="45">
        <v>91788</v>
      </c>
      <c r="Z29" s="45">
        <v>567</v>
      </c>
      <c r="AA29" s="45">
        <v>894</v>
      </c>
      <c r="AB29" s="45">
        <v>126172</v>
      </c>
      <c r="AC29" s="45">
        <v>273998</v>
      </c>
      <c r="AD29" s="45">
        <v>217245</v>
      </c>
      <c r="AE29" s="45">
        <v>631744</v>
      </c>
      <c r="AF29" s="45">
        <v>55965</v>
      </c>
      <c r="AG29" s="45">
        <v>147826</v>
      </c>
      <c r="AH29" s="45">
        <v>1075</v>
      </c>
      <c r="AI29" s="45">
        <v>3092</v>
      </c>
      <c r="AJ29" s="45">
        <v>12621</v>
      </c>
      <c r="AK29" s="45">
        <v>42922</v>
      </c>
      <c r="AL29" s="45">
        <v>3753</v>
      </c>
      <c r="AM29" s="45">
        <v>11960</v>
      </c>
      <c r="AN29" s="45"/>
      <c r="AO29" s="45"/>
      <c r="AP29" s="45">
        <v>444240.49906800024</v>
      </c>
      <c r="AQ29" s="45">
        <v>1375509.7320272001</v>
      </c>
      <c r="AR29" s="45">
        <v>570366</v>
      </c>
      <c r="AS29" s="45">
        <v>2147017</v>
      </c>
      <c r="AT29" s="45">
        <v>487165</v>
      </c>
      <c r="AU29" s="45">
        <v>1494466</v>
      </c>
      <c r="AV29" s="45">
        <v>406</v>
      </c>
      <c r="AW29" s="45">
        <v>1684</v>
      </c>
      <c r="AX29" s="45">
        <v>58515</v>
      </c>
      <c r="AY29" s="45">
        <v>168685</v>
      </c>
      <c r="AZ29" s="45"/>
      <c r="BA29" s="45"/>
      <c r="BB29" s="45">
        <v>22556</v>
      </c>
      <c r="BC29" s="45">
        <v>50384</v>
      </c>
      <c r="BD29" s="45">
        <v>16799</v>
      </c>
      <c r="BE29" s="45">
        <v>54182</v>
      </c>
      <c r="BF29" s="45">
        <v>22003</v>
      </c>
      <c r="BG29" s="45">
        <v>63735</v>
      </c>
      <c r="BH29" s="45"/>
      <c r="BI29" s="45"/>
      <c r="BJ29" s="45">
        <v>24077</v>
      </c>
      <c r="BK29" s="45">
        <v>29548</v>
      </c>
      <c r="BL29" s="45">
        <v>414438</v>
      </c>
      <c r="BM29" s="45">
        <v>1333755</v>
      </c>
      <c r="BN29" s="45">
        <v>6510</v>
      </c>
      <c r="BO29" s="45">
        <v>21281</v>
      </c>
      <c r="BP29" s="21">
        <f t="shared" si="6"/>
        <v>2641780.4990680004</v>
      </c>
      <c r="BQ29" s="21">
        <f t="shared" si="7"/>
        <v>8253607.7320272001</v>
      </c>
    </row>
    <row r="31" spans="1:69" s="8" customFormat="1" x14ac:dyDescent="0.25">
      <c r="A31" s="7" t="s">
        <v>185</v>
      </c>
    </row>
    <row r="32" spans="1:69" s="15" customFormat="1" x14ac:dyDescent="0.25">
      <c r="A32" s="23" t="s">
        <v>0</v>
      </c>
      <c r="B32" s="110" t="s">
        <v>1</v>
      </c>
      <c r="C32" s="110"/>
      <c r="D32" s="110" t="s">
        <v>2</v>
      </c>
      <c r="E32" s="110"/>
      <c r="F32" s="110" t="s">
        <v>3</v>
      </c>
      <c r="G32" s="110"/>
      <c r="H32" s="110" t="s">
        <v>4</v>
      </c>
      <c r="I32" s="110"/>
      <c r="J32" s="110" t="s">
        <v>5</v>
      </c>
      <c r="K32" s="110"/>
      <c r="L32" s="110" t="s">
        <v>6</v>
      </c>
      <c r="M32" s="110"/>
      <c r="N32" s="110" t="s">
        <v>7</v>
      </c>
      <c r="O32" s="110"/>
      <c r="P32" s="110" t="s">
        <v>8</v>
      </c>
      <c r="Q32" s="110"/>
      <c r="R32" s="110" t="s">
        <v>9</v>
      </c>
      <c r="S32" s="110"/>
      <c r="T32" s="110" t="s">
        <v>10</v>
      </c>
      <c r="U32" s="110"/>
      <c r="V32" s="110" t="s">
        <v>11</v>
      </c>
      <c r="W32" s="110"/>
      <c r="X32" s="110" t="s">
        <v>12</v>
      </c>
      <c r="Y32" s="110"/>
      <c r="Z32" s="110" t="s">
        <v>13</v>
      </c>
      <c r="AA32" s="110"/>
      <c r="AB32" s="110" t="s">
        <v>14</v>
      </c>
      <c r="AC32" s="110"/>
      <c r="AD32" s="110" t="s">
        <v>15</v>
      </c>
      <c r="AE32" s="110"/>
      <c r="AF32" s="110" t="s">
        <v>16</v>
      </c>
      <c r="AG32" s="110"/>
      <c r="AH32" s="110" t="s">
        <v>17</v>
      </c>
      <c r="AI32" s="110"/>
      <c r="AJ32" s="110" t="s">
        <v>18</v>
      </c>
      <c r="AK32" s="110"/>
      <c r="AL32" s="110" t="s">
        <v>19</v>
      </c>
      <c r="AM32" s="110"/>
      <c r="AN32" s="110" t="s">
        <v>20</v>
      </c>
      <c r="AO32" s="110"/>
      <c r="AP32" s="110" t="s">
        <v>21</v>
      </c>
      <c r="AQ32" s="110"/>
      <c r="AR32" s="110" t="s">
        <v>161</v>
      </c>
      <c r="AS32" s="110"/>
      <c r="AT32" s="110" t="s">
        <v>162</v>
      </c>
      <c r="AU32" s="110"/>
      <c r="AV32" s="110" t="s">
        <v>22</v>
      </c>
      <c r="AW32" s="110"/>
      <c r="AX32" s="110" t="s">
        <v>23</v>
      </c>
      <c r="AY32" s="110"/>
      <c r="AZ32" s="110" t="s">
        <v>24</v>
      </c>
      <c r="BA32" s="110"/>
      <c r="BB32" s="110" t="s">
        <v>25</v>
      </c>
      <c r="BC32" s="110"/>
      <c r="BD32" s="110" t="s">
        <v>26</v>
      </c>
      <c r="BE32" s="110"/>
      <c r="BF32" s="110" t="s">
        <v>27</v>
      </c>
      <c r="BG32" s="110"/>
      <c r="BH32" s="110" t="s">
        <v>28</v>
      </c>
      <c r="BI32" s="110"/>
      <c r="BJ32" s="110" t="s">
        <v>29</v>
      </c>
      <c r="BK32" s="110"/>
      <c r="BL32" s="110" t="s">
        <v>30</v>
      </c>
      <c r="BM32" s="110"/>
      <c r="BN32" s="110" t="s">
        <v>31</v>
      </c>
      <c r="BO32" s="110"/>
      <c r="BP32" s="110" t="s">
        <v>304</v>
      </c>
      <c r="BQ32" s="110"/>
    </row>
    <row r="33" spans="1:69" s="43" customFormat="1" ht="44.25" customHeight="1" x14ac:dyDescent="0.25">
      <c r="A33" s="44"/>
      <c r="B33" s="44" t="s">
        <v>286</v>
      </c>
      <c r="C33" s="44" t="s">
        <v>287</v>
      </c>
      <c r="D33" s="44" t="s">
        <v>286</v>
      </c>
      <c r="E33" s="44" t="s">
        <v>287</v>
      </c>
      <c r="F33" s="44" t="s">
        <v>286</v>
      </c>
      <c r="G33" s="44" t="s">
        <v>287</v>
      </c>
      <c r="H33" s="44" t="s">
        <v>286</v>
      </c>
      <c r="I33" s="44" t="s">
        <v>287</v>
      </c>
      <c r="J33" s="44" t="s">
        <v>286</v>
      </c>
      <c r="K33" s="44" t="s">
        <v>287</v>
      </c>
      <c r="L33" s="44" t="s">
        <v>286</v>
      </c>
      <c r="M33" s="44" t="s">
        <v>287</v>
      </c>
      <c r="N33" s="44" t="s">
        <v>286</v>
      </c>
      <c r="O33" s="44" t="s">
        <v>287</v>
      </c>
      <c r="P33" s="44" t="s">
        <v>286</v>
      </c>
      <c r="Q33" s="44" t="s">
        <v>287</v>
      </c>
      <c r="R33" s="44" t="s">
        <v>286</v>
      </c>
      <c r="S33" s="44" t="s">
        <v>287</v>
      </c>
      <c r="T33" s="44" t="s">
        <v>286</v>
      </c>
      <c r="U33" s="44" t="s">
        <v>287</v>
      </c>
      <c r="V33" s="44" t="s">
        <v>286</v>
      </c>
      <c r="W33" s="44" t="s">
        <v>287</v>
      </c>
      <c r="X33" s="44" t="s">
        <v>286</v>
      </c>
      <c r="Y33" s="44" t="s">
        <v>287</v>
      </c>
      <c r="Z33" s="44" t="s">
        <v>286</v>
      </c>
      <c r="AA33" s="44" t="s">
        <v>287</v>
      </c>
      <c r="AB33" s="44" t="s">
        <v>286</v>
      </c>
      <c r="AC33" s="44" t="s">
        <v>287</v>
      </c>
      <c r="AD33" s="44" t="s">
        <v>286</v>
      </c>
      <c r="AE33" s="44" t="s">
        <v>287</v>
      </c>
      <c r="AF33" s="44" t="s">
        <v>286</v>
      </c>
      <c r="AG33" s="44" t="s">
        <v>287</v>
      </c>
      <c r="AH33" s="44" t="s">
        <v>286</v>
      </c>
      <c r="AI33" s="44" t="s">
        <v>287</v>
      </c>
      <c r="AJ33" s="44" t="s">
        <v>286</v>
      </c>
      <c r="AK33" s="44" t="s">
        <v>287</v>
      </c>
      <c r="AL33" s="44" t="s">
        <v>286</v>
      </c>
      <c r="AM33" s="44" t="s">
        <v>287</v>
      </c>
      <c r="AN33" s="44" t="s">
        <v>286</v>
      </c>
      <c r="AO33" s="44" t="s">
        <v>287</v>
      </c>
      <c r="AP33" s="44" t="s">
        <v>286</v>
      </c>
      <c r="AQ33" s="44" t="s">
        <v>287</v>
      </c>
      <c r="AR33" s="44" t="s">
        <v>286</v>
      </c>
      <c r="AS33" s="44" t="s">
        <v>287</v>
      </c>
      <c r="AT33" s="44" t="s">
        <v>286</v>
      </c>
      <c r="AU33" s="44" t="s">
        <v>287</v>
      </c>
      <c r="AV33" s="44" t="s">
        <v>286</v>
      </c>
      <c r="AW33" s="44" t="s">
        <v>287</v>
      </c>
      <c r="AX33" s="44" t="s">
        <v>286</v>
      </c>
      <c r="AY33" s="44" t="s">
        <v>287</v>
      </c>
      <c r="AZ33" s="44" t="s">
        <v>286</v>
      </c>
      <c r="BA33" s="44" t="s">
        <v>287</v>
      </c>
      <c r="BB33" s="44" t="s">
        <v>286</v>
      </c>
      <c r="BC33" s="44" t="s">
        <v>287</v>
      </c>
      <c r="BD33" s="44" t="s">
        <v>286</v>
      </c>
      <c r="BE33" s="44" t="s">
        <v>287</v>
      </c>
      <c r="BF33" s="44" t="s">
        <v>286</v>
      </c>
      <c r="BG33" s="44" t="s">
        <v>287</v>
      </c>
      <c r="BH33" s="44" t="s">
        <v>286</v>
      </c>
      <c r="BI33" s="44" t="s">
        <v>287</v>
      </c>
      <c r="BJ33" s="44" t="s">
        <v>286</v>
      </c>
      <c r="BK33" s="44" t="s">
        <v>287</v>
      </c>
      <c r="BL33" s="44" t="s">
        <v>286</v>
      </c>
      <c r="BM33" s="44" t="s">
        <v>287</v>
      </c>
      <c r="BN33" s="44" t="s">
        <v>286</v>
      </c>
      <c r="BO33" s="44" t="s">
        <v>287</v>
      </c>
      <c r="BP33" s="44" t="s">
        <v>286</v>
      </c>
      <c r="BQ33" s="44" t="s">
        <v>287</v>
      </c>
    </row>
    <row r="34" spans="1:69" ht="30" x14ac:dyDescent="0.25">
      <c r="A34" s="25" t="s">
        <v>68</v>
      </c>
      <c r="B34" s="21">
        <v>69586</v>
      </c>
      <c r="C34" s="21">
        <v>177161</v>
      </c>
      <c r="D34" s="21">
        <v>1171130</v>
      </c>
      <c r="E34" s="21">
        <v>2653382</v>
      </c>
      <c r="F34" s="21"/>
      <c r="G34" s="21"/>
      <c r="H34" s="21">
        <v>4357346</v>
      </c>
      <c r="I34" s="21">
        <v>11375341</v>
      </c>
      <c r="J34" s="21">
        <v>5662789</v>
      </c>
      <c r="K34" s="21">
        <v>18438354</v>
      </c>
      <c r="L34" s="21">
        <v>774066</v>
      </c>
      <c r="M34" s="21">
        <v>2455638</v>
      </c>
      <c r="N34" s="21">
        <v>619990</v>
      </c>
      <c r="O34" s="21">
        <v>1929950</v>
      </c>
      <c r="P34" s="21">
        <v>1080303</v>
      </c>
      <c r="Q34" s="21">
        <v>3427902</v>
      </c>
      <c r="R34" s="21">
        <v>29612</v>
      </c>
      <c r="S34" s="21">
        <v>930130</v>
      </c>
      <c r="T34" s="21">
        <v>134168</v>
      </c>
      <c r="U34" s="21">
        <v>423040</v>
      </c>
      <c r="V34" s="21"/>
      <c r="W34" s="21"/>
      <c r="X34" s="21">
        <v>652463</v>
      </c>
      <c r="Y34" s="21">
        <v>1882178</v>
      </c>
      <c r="Z34" s="21">
        <v>32275</v>
      </c>
      <c r="AA34" s="21">
        <v>117836</v>
      </c>
      <c r="AB34" s="21">
        <v>3634034</v>
      </c>
      <c r="AC34" s="21">
        <v>9387506</v>
      </c>
      <c r="AD34" s="21">
        <v>4917251</v>
      </c>
      <c r="AE34" s="21">
        <v>16260475</v>
      </c>
      <c r="AF34" s="21">
        <v>1917146</v>
      </c>
      <c r="AG34" s="21">
        <v>5773616</v>
      </c>
      <c r="AH34" s="21">
        <v>132359</v>
      </c>
      <c r="AI34" s="21">
        <v>378784</v>
      </c>
      <c r="AJ34" s="21">
        <v>397037</v>
      </c>
      <c r="AK34" s="21">
        <v>1370016</v>
      </c>
      <c r="AL34" s="21">
        <v>82898</v>
      </c>
      <c r="AM34" s="21">
        <v>182891</v>
      </c>
      <c r="AN34" s="21">
        <v>2144584</v>
      </c>
      <c r="AO34" s="21">
        <v>6039929</v>
      </c>
      <c r="AP34" s="21">
        <v>13726481.699082602</v>
      </c>
      <c r="AQ34" s="21">
        <v>39903192.675843403</v>
      </c>
      <c r="AR34" s="21">
        <v>20378178</v>
      </c>
      <c r="AS34" s="21">
        <v>62656707</v>
      </c>
      <c r="AT34" s="21">
        <v>8563135</v>
      </c>
      <c r="AU34" s="21">
        <v>28737928</v>
      </c>
      <c r="AV34" s="21">
        <v>183</v>
      </c>
      <c r="AW34" s="21">
        <v>643</v>
      </c>
      <c r="AX34" s="21">
        <v>1554464</v>
      </c>
      <c r="AY34" s="21">
        <v>8909034</v>
      </c>
      <c r="AZ34" s="21">
        <v>5118613</v>
      </c>
      <c r="BA34" s="21">
        <v>11664029</v>
      </c>
      <c r="BB34" s="21">
        <v>768167</v>
      </c>
      <c r="BC34" s="21">
        <v>2582336</v>
      </c>
      <c r="BD34" s="21">
        <v>1212603</v>
      </c>
      <c r="BE34" s="21">
        <v>3579676</v>
      </c>
      <c r="BF34" s="21">
        <v>2216</v>
      </c>
      <c r="BG34" s="21">
        <v>6037</v>
      </c>
      <c r="BH34" s="21"/>
      <c r="BI34" s="21"/>
      <c r="BJ34" s="21">
        <v>1772276</v>
      </c>
      <c r="BK34" s="21">
        <v>5973609</v>
      </c>
      <c r="BL34" s="21">
        <v>13937647</v>
      </c>
      <c r="BM34" s="21">
        <v>35360553</v>
      </c>
      <c r="BN34" s="21">
        <v>318597</v>
      </c>
      <c r="BO34" s="21">
        <v>962672</v>
      </c>
      <c r="BP34" s="21">
        <f t="shared" ref="BP34:BP36" si="8">B34+D34+F34+H34+J34+L34+N34+P34+R34+T34+V34+X34+Z34+AB34+AD34+AF34+AH34+AJ34+AL34+AN34+AP34+AR34+AT34+AV34+AX34+AZ34+BB34+BD34+BF34+BH34+BJ34+BL34+BN34</f>
        <v>95161597.699082598</v>
      </c>
      <c r="BQ34" s="21">
        <f t="shared" ref="BQ34:BQ36" si="9">C34+E34+G34+I34+K34+M34+O34+Q34+S34+U34+W34+Y34+AA34+AC34+AE34+AG34+AI34+AK34+AM34+AO34+AQ34+AS34+AU34+AW34+AY34+BA34+BC34+BE34+BG34+BI34+BK34+BM34+BO34</f>
        <v>283540545.67584342</v>
      </c>
    </row>
    <row r="35" spans="1:69" s="10" customFormat="1" x14ac:dyDescent="0.25">
      <c r="A35" s="25" t="s">
        <v>213</v>
      </c>
      <c r="B35" s="45">
        <v>66035</v>
      </c>
      <c r="C35" s="45">
        <v>166261</v>
      </c>
      <c r="D35" s="45">
        <v>1107870</v>
      </c>
      <c r="E35" s="45">
        <v>2508610</v>
      </c>
      <c r="F35" s="45"/>
      <c r="G35" s="45"/>
      <c r="H35" s="45">
        <v>3354703</v>
      </c>
      <c r="I35" s="45">
        <v>8719193</v>
      </c>
      <c r="J35" s="45">
        <v>4764165</v>
      </c>
      <c r="K35" s="45">
        <v>14359955</v>
      </c>
      <c r="L35" s="45">
        <v>649975</v>
      </c>
      <c r="M35" s="45">
        <v>1996376</v>
      </c>
      <c r="N35" s="45">
        <v>584900</v>
      </c>
      <c r="O35" s="45">
        <v>1768312</v>
      </c>
      <c r="P35" s="45">
        <v>1025231</v>
      </c>
      <c r="Q35" s="45">
        <v>3248813</v>
      </c>
      <c r="R35" s="45">
        <v>22996</v>
      </c>
      <c r="S35" s="45">
        <v>444339</v>
      </c>
      <c r="T35" s="45"/>
      <c r="U35" s="45"/>
      <c r="V35" s="45"/>
      <c r="W35" s="45"/>
      <c r="X35" s="45">
        <v>424805</v>
      </c>
      <c r="Y35" s="45">
        <v>1434303</v>
      </c>
      <c r="Z35" s="45">
        <v>30661</v>
      </c>
      <c r="AA35" s="45">
        <v>111904</v>
      </c>
      <c r="AB35" s="45">
        <v>2361689</v>
      </c>
      <c r="AC35" s="45">
        <v>5736772</v>
      </c>
      <c r="AD35" s="45">
        <v>3443750</v>
      </c>
      <c r="AE35" s="45">
        <v>12436239</v>
      </c>
      <c r="AF35" s="45">
        <v>1821764</v>
      </c>
      <c r="AG35" s="45">
        <v>5397262</v>
      </c>
      <c r="AH35" s="45">
        <v>125429</v>
      </c>
      <c r="AI35" s="45">
        <v>357341</v>
      </c>
      <c r="AJ35" s="45">
        <v>363031</v>
      </c>
      <c r="AK35" s="45">
        <v>1252111</v>
      </c>
      <c r="AL35" s="45">
        <v>49182</v>
      </c>
      <c r="AM35" s="45">
        <v>102584</v>
      </c>
      <c r="AN35" s="45">
        <v>1617293</v>
      </c>
      <c r="AO35" s="45">
        <v>4554711</v>
      </c>
      <c r="AP35" s="45">
        <v>5013420.6001010034</v>
      </c>
      <c r="AQ35" s="45">
        <v>22068131.885964204</v>
      </c>
      <c r="AR35" s="45">
        <v>17656912</v>
      </c>
      <c r="AS35" s="45">
        <v>54419954</v>
      </c>
      <c r="AT35" s="45">
        <v>8136625</v>
      </c>
      <c r="AU35" s="45">
        <v>27289532</v>
      </c>
      <c r="AV35" s="45">
        <v>174</v>
      </c>
      <c r="AW35" s="45">
        <v>611</v>
      </c>
      <c r="AX35" s="45">
        <v>1406552</v>
      </c>
      <c r="AY35" s="45">
        <v>7954985</v>
      </c>
      <c r="AZ35" s="45">
        <v>3016534</v>
      </c>
      <c r="BA35" s="45">
        <v>7968604</v>
      </c>
      <c r="BB35" s="45">
        <v>593326</v>
      </c>
      <c r="BC35" s="45">
        <v>2048349</v>
      </c>
      <c r="BD35" s="45">
        <v>1151973</v>
      </c>
      <c r="BE35" s="45">
        <v>3400692</v>
      </c>
      <c r="BF35" s="45">
        <v>2093</v>
      </c>
      <c r="BG35" s="45">
        <v>4085</v>
      </c>
      <c r="BH35" s="45"/>
      <c r="BI35" s="45"/>
      <c r="BJ35" s="45">
        <v>1279738</v>
      </c>
      <c r="BK35" s="45">
        <v>4422101</v>
      </c>
      <c r="BL35" s="45">
        <v>13237675</v>
      </c>
      <c r="BM35" s="45">
        <v>32991295</v>
      </c>
      <c r="BN35" s="45">
        <v>296692</v>
      </c>
      <c r="BO35" s="45">
        <v>896055</v>
      </c>
      <c r="BP35" s="21">
        <f t="shared" si="8"/>
        <v>73605193.600100994</v>
      </c>
      <c r="BQ35" s="21">
        <f t="shared" si="9"/>
        <v>228059480.88596421</v>
      </c>
    </row>
    <row r="36" spans="1:69" s="10" customFormat="1" x14ac:dyDescent="0.25">
      <c r="A36" s="25" t="s">
        <v>266</v>
      </c>
      <c r="B36" s="45">
        <v>64842</v>
      </c>
      <c r="C36" s="45">
        <v>163859</v>
      </c>
      <c r="D36" s="46">
        <v>904940</v>
      </c>
      <c r="E36" s="45">
        <v>2050834</v>
      </c>
      <c r="F36" s="45"/>
      <c r="G36" s="45"/>
      <c r="H36" s="45">
        <v>3712541</v>
      </c>
      <c r="I36" s="45">
        <v>8440360</v>
      </c>
      <c r="J36" s="45">
        <v>4420234</v>
      </c>
      <c r="K36" s="45">
        <v>12291350</v>
      </c>
      <c r="L36" s="45">
        <v>510580</v>
      </c>
      <c r="M36" s="45">
        <v>1360208</v>
      </c>
      <c r="N36" s="45">
        <v>586550</v>
      </c>
      <c r="O36" s="45">
        <v>1739486</v>
      </c>
      <c r="P36" s="45">
        <v>951359</v>
      </c>
      <c r="Q36" s="45">
        <v>2657267</v>
      </c>
      <c r="R36" s="45">
        <v>56536</v>
      </c>
      <c r="S36" s="45">
        <v>267212</v>
      </c>
      <c r="T36" s="45">
        <v>69191</v>
      </c>
      <c r="U36" s="45">
        <v>97399</v>
      </c>
      <c r="V36" s="45"/>
      <c r="W36" s="45"/>
      <c r="X36" s="45">
        <v>487242</v>
      </c>
      <c r="Y36" s="45">
        <v>1387296</v>
      </c>
      <c r="Z36" s="45">
        <v>36855</v>
      </c>
      <c r="AA36" s="45">
        <v>112140</v>
      </c>
      <c r="AB36" s="45">
        <v>1864801</v>
      </c>
      <c r="AC36" s="45">
        <v>4904714</v>
      </c>
      <c r="AD36" s="45">
        <v>3957719</v>
      </c>
      <c r="AE36" s="45">
        <v>11193689</v>
      </c>
      <c r="AF36" s="45">
        <v>1950732</v>
      </c>
      <c r="AG36" s="45">
        <v>5612843</v>
      </c>
      <c r="AH36" s="45">
        <v>96867</v>
      </c>
      <c r="AI36" s="45">
        <v>233943</v>
      </c>
      <c r="AJ36" s="45">
        <v>340843</v>
      </c>
      <c r="AK36" s="45">
        <v>945864</v>
      </c>
      <c r="AL36" s="45">
        <v>13969</v>
      </c>
      <c r="AM36" s="45">
        <v>31311</v>
      </c>
      <c r="AN36" s="45">
        <v>1478880</v>
      </c>
      <c r="AO36" s="45">
        <v>4185125</v>
      </c>
      <c r="AP36" s="45">
        <v>6965031.2461010031</v>
      </c>
      <c r="AQ36" s="45">
        <v>24773239.934964202</v>
      </c>
      <c r="AR36" s="45">
        <v>18347848</v>
      </c>
      <c r="AS36" s="45">
        <v>51136194</v>
      </c>
      <c r="AT36" s="45">
        <v>7989055</v>
      </c>
      <c r="AU36" s="45">
        <v>25828461</v>
      </c>
      <c r="AV36" s="45">
        <v>209</v>
      </c>
      <c r="AW36" s="45">
        <v>586</v>
      </c>
      <c r="AX36" s="45">
        <v>2479668</v>
      </c>
      <c r="AY36" s="45">
        <v>6228489</v>
      </c>
      <c r="AZ36" s="45">
        <v>2686366</v>
      </c>
      <c r="BA36" s="45">
        <v>6612030</v>
      </c>
      <c r="BB36" s="45">
        <v>662626</v>
      </c>
      <c r="BC36" s="45">
        <v>1891331</v>
      </c>
      <c r="BD36" s="45">
        <v>1271937</v>
      </c>
      <c r="BE36" s="45">
        <v>3721192</v>
      </c>
      <c r="BF36" s="45">
        <v>1886</v>
      </c>
      <c r="BG36" s="45">
        <v>3406</v>
      </c>
      <c r="BH36" s="45"/>
      <c r="BI36" s="45"/>
      <c r="BJ36" s="45">
        <v>1360233</v>
      </c>
      <c r="BK36" s="45">
        <v>3895899</v>
      </c>
      <c r="BL36" s="45">
        <v>11389289</v>
      </c>
      <c r="BM36" s="45">
        <v>30889249</v>
      </c>
      <c r="BN36" s="45">
        <v>275468</v>
      </c>
      <c r="BO36" s="45">
        <v>766620</v>
      </c>
      <c r="BP36" s="21">
        <f t="shared" si="8"/>
        <v>74934297.246101007</v>
      </c>
      <c r="BQ36" s="21">
        <f t="shared" si="9"/>
        <v>213421596.93496421</v>
      </c>
    </row>
    <row r="38" spans="1:69" s="8" customFormat="1" x14ac:dyDescent="0.25">
      <c r="A38" s="7" t="s">
        <v>158</v>
      </c>
    </row>
    <row r="39" spans="1:69" s="15" customFormat="1" x14ac:dyDescent="0.25">
      <c r="A39" s="23" t="s">
        <v>0</v>
      </c>
      <c r="B39" s="110" t="s">
        <v>1</v>
      </c>
      <c r="C39" s="110"/>
      <c r="D39" s="110" t="s">
        <v>2</v>
      </c>
      <c r="E39" s="110"/>
      <c r="F39" s="110" t="s">
        <v>3</v>
      </c>
      <c r="G39" s="110"/>
      <c r="H39" s="110" t="s">
        <v>4</v>
      </c>
      <c r="I39" s="110"/>
      <c r="J39" s="110" t="s">
        <v>5</v>
      </c>
      <c r="K39" s="110"/>
      <c r="L39" s="110" t="s">
        <v>6</v>
      </c>
      <c r="M39" s="110"/>
      <c r="N39" s="110" t="s">
        <v>7</v>
      </c>
      <c r="O39" s="110"/>
      <c r="P39" s="110" t="s">
        <v>8</v>
      </c>
      <c r="Q39" s="110"/>
      <c r="R39" s="110" t="s">
        <v>9</v>
      </c>
      <c r="S39" s="110"/>
      <c r="T39" s="110" t="s">
        <v>10</v>
      </c>
      <c r="U39" s="110"/>
      <c r="V39" s="110" t="s">
        <v>11</v>
      </c>
      <c r="W39" s="110"/>
      <c r="X39" s="110" t="s">
        <v>12</v>
      </c>
      <c r="Y39" s="110"/>
      <c r="Z39" s="110" t="s">
        <v>13</v>
      </c>
      <c r="AA39" s="110"/>
      <c r="AB39" s="110" t="s">
        <v>14</v>
      </c>
      <c r="AC39" s="110"/>
      <c r="AD39" s="110" t="s">
        <v>15</v>
      </c>
      <c r="AE39" s="110"/>
      <c r="AF39" s="110" t="s">
        <v>16</v>
      </c>
      <c r="AG39" s="110"/>
      <c r="AH39" s="110" t="s">
        <v>17</v>
      </c>
      <c r="AI39" s="110"/>
      <c r="AJ39" s="110" t="s">
        <v>18</v>
      </c>
      <c r="AK39" s="110"/>
      <c r="AL39" s="110" t="s">
        <v>19</v>
      </c>
      <c r="AM39" s="110"/>
      <c r="AN39" s="110" t="s">
        <v>20</v>
      </c>
      <c r="AO39" s="110"/>
      <c r="AP39" s="110" t="s">
        <v>21</v>
      </c>
      <c r="AQ39" s="110"/>
      <c r="AR39" s="110" t="s">
        <v>161</v>
      </c>
      <c r="AS39" s="110"/>
      <c r="AT39" s="110" t="s">
        <v>162</v>
      </c>
      <c r="AU39" s="110"/>
      <c r="AV39" s="110" t="s">
        <v>22</v>
      </c>
      <c r="AW39" s="110"/>
      <c r="AX39" s="110" t="s">
        <v>23</v>
      </c>
      <c r="AY39" s="110"/>
      <c r="AZ39" s="110" t="s">
        <v>24</v>
      </c>
      <c r="BA39" s="110"/>
      <c r="BB39" s="110" t="s">
        <v>25</v>
      </c>
      <c r="BC39" s="110"/>
      <c r="BD39" s="110" t="s">
        <v>26</v>
      </c>
      <c r="BE39" s="110"/>
      <c r="BF39" s="110" t="s">
        <v>27</v>
      </c>
      <c r="BG39" s="110"/>
      <c r="BH39" s="110" t="s">
        <v>28</v>
      </c>
      <c r="BI39" s="110"/>
      <c r="BJ39" s="110" t="s">
        <v>29</v>
      </c>
      <c r="BK39" s="110"/>
      <c r="BL39" s="110" t="s">
        <v>30</v>
      </c>
      <c r="BM39" s="110"/>
      <c r="BN39" s="110" t="s">
        <v>31</v>
      </c>
      <c r="BO39" s="110"/>
      <c r="BP39" s="110" t="s">
        <v>304</v>
      </c>
      <c r="BQ39" s="110"/>
    </row>
    <row r="40" spans="1:69" s="43" customFormat="1" ht="44.25" customHeight="1" x14ac:dyDescent="0.25">
      <c r="A40" s="44"/>
      <c r="B40" s="44" t="s">
        <v>286</v>
      </c>
      <c r="C40" s="44" t="s">
        <v>287</v>
      </c>
      <c r="D40" s="44" t="s">
        <v>286</v>
      </c>
      <c r="E40" s="44" t="s">
        <v>287</v>
      </c>
      <c r="F40" s="44" t="s">
        <v>286</v>
      </c>
      <c r="G40" s="44" t="s">
        <v>287</v>
      </c>
      <c r="H40" s="44" t="s">
        <v>286</v>
      </c>
      <c r="I40" s="44" t="s">
        <v>287</v>
      </c>
      <c r="J40" s="44" t="s">
        <v>286</v>
      </c>
      <c r="K40" s="44" t="s">
        <v>287</v>
      </c>
      <c r="L40" s="44" t="s">
        <v>286</v>
      </c>
      <c r="M40" s="44" t="s">
        <v>287</v>
      </c>
      <c r="N40" s="44" t="s">
        <v>286</v>
      </c>
      <c r="O40" s="44" t="s">
        <v>287</v>
      </c>
      <c r="P40" s="44" t="s">
        <v>286</v>
      </c>
      <c r="Q40" s="44" t="s">
        <v>287</v>
      </c>
      <c r="R40" s="44" t="s">
        <v>286</v>
      </c>
      <c r="S40" s="44" t="s">
        <v>287</v>
      </c>
      <c r="T40" s="44" t="s">
        <v>286</v>
      </c>
      <c r="U40" s="44" t="s">
        <v>287</v>
      </c>
      <c r="V40" s="44" t="s">
        <v>286</v>
      </c>
      <c r="W40" s="44" t="s">
        <v>287</v>
      </c>
      <c r="X40" s="44" t="s">
        <v>286</v>
      </c>
      <c r="Y40" s="44" t="s">
        <v>287</v>
      </c>
      <c r="Z40" s="44" t="s">
        <v>286</v>
      </c>
      <c r="AA40" s="44" t="s">
        <v>287</v>
      </c>
      <c r="AB40" s="44" t="s">
        <v>286</v>
      </c>
      <c r="AC40" s="44" t="s">
        <v>287</v>
      </c>
      <c r="AD40" s="44" t="s">
        <v>286</v>
      </c>
      <c r="AE40" s="44" t="s">
        <v>287</v>
      </c>
      <c r="AF40" s="44" t="s">
        <v>286</v>
      </c>
      <c r="AG40" s="44" t="s">
        <v>287</v>
      </c>
      <c r="AH40" s="44" t="s">
        <v>286</v>
      </c>
      <c r="AI40" s="44" t="s">
        <v>287</v>
      </c>
      <c r="AJ40" s="44" t="s">
        <v>286</v>
      </c>
      <c r="AK40" s="44" t="s">
        <v>287</v>
      </c>
      <c r="AL40" s="44" t="s">
        <v>286</v>
      </c>
      <c r="AM40" s="44" t="s">
        <v>287</v>
      </c>
      <c r="AN40" s="44" t="s">
        <v>286</v>
      </c>
      <c r="AO40" s="44" t="s">
        <v>287</v>
      </c>
      <c r="AP40" s="44" t="s">
        <v>286</v>
      </c>
      <c r="AQ40" s="44" t="s">
        <v>287</v>
      </c>
      <c r="AR40" s="44" t="s">
        <v>286</v>
      </c>
      <c r="AS40" s="44" t="s">
        <v>287</v>
      </c>
      <c r="AT40" s="44" t="s">
        <v>286</v>
      </c>
      <c r="AU40" s="44" t="s">
        <v>287</v>
      </c>
      <c r="AV40" s="44" t="s">
        <v>286</v>
      </c>
      <c r="AW40" s="44" t="s">
        <v>287</v>
      </c>
      <c r="AX40" s="44" t="s">
        <v>286</v>
      </c>
      <c r="AY40" s="44" t="s">
        <v>287</v>
      </c>
      <c r="AZ40" s="44" t="s">
        <v>286</v>
      </c>
      <c r="BA40" s="44" t="s">
        <v>287</v>
      </c>
      <c r="BB40" s="44" t="s">
        <v>286</v>
      </c>
      <c r="BC40" s="44" t="s">
        <v>287</v>
      </c>
      <c r="BD40" s="44" t="s">
        <v>286</v>
      </c>
      <c r="BE40" s="44" t="s">
        <v>287</v>
      </c>
      <c r="BF40" s="44" t="s">
        <v>286</v>
      </c>
      <c r="BG40" s="44" t="s">
        <v>287</v>
      </c>
      <c r="BH40" s="44" t="s">
        <v>286</v>
      </c>
      <c r="BI40" s="44" t="s">
        <v>287</v>
      </c>
      <c r="BJ40" s="44" t="s">
        <v>286</v>
      </c>
      <c r="BK40" s="44" t="s">
        <v>287</v>
      </c>
      <c r="BL40" s="44" t="s">
        <v>286</v>
      </c>
      <c r="BM40" s="44" t="s">
        <v>287</v>
      </c>
      <c r="BN40" s="44" t="s">
        <v>286</v>
      </c>
      <c r="BO40" s="44" t="s">
        <v>287</v>
      </c>
      <c r="BP40" s="44" t="s">
        <v>286</v>
      </c>
      <c r="BQ40" s="44" t="s">
        <v>287</v>
      </c>
    </row>
    <row r="41" spans="1:69" ht="30" x14ac:dyDescent="0.25">
      <c r="A41" s="25" t="s">
        <v>68</v>
      </c>
      <c r="B41" s="21">
        <v>3211</v>
      </c>
      <c r="C41" s="21">
        <v>3628</v>
      </c>
      <c r="D41" s="21">
        <v>215205</v>
      </c>
      <c r="E41" s="21">
        <v>501992</v>
      </c>
      <c r="F41" s="21"/>
      <c r="G41" s="21"/>
      <c r="H41" s="21">
        <v>504574</v>
      </c>
      <c r="I41" s="21">
        <v>1293030</v>
      </c>
      <c r="J41" s="21">
        <v>651129</v>
      </c>
      <c r="K41" s="21">
        <v>1844733</v>
      </c>
      <c r="L41" s="21">
        <v>42525</v>
      </c>
      <c r="M41" s="21">
        <v>167719</v>
      </c>
      <c r="N41" s="21">
        <v>625570</v>
      </c>
      <c r="O41" s="21">
        <v>2122070</v>
      </c>
      <c r="P41" s="21">
        <v>19097</v>
      </c>
      <c r="Q41" s="21">
        <v>125103</v>
      </c>
      <c r="R41" s="21">
        <v>1996</v>
      </c>
      <c r="S41" s="21">
        <v>208275</v>
      </c>
      <c r="T41" s="21">
        <v>279</v>
      </c>
      <c r="U41" s="21">
        <v>2926</v>
      </c>
      <c r="V41" s="21"/>
      <c r="W41" s="21"/>
      <c r="X41" s="21">
        <v>143775</v>
      </c>
      <c r="Y41" s="21">
        <v>455491</v>
      </c>
      <c r="Z41" s="21"/>
      <c r="AA41" s="21"/>
      <c r="AB41" s="21">
        <v>1779544</v>
      </c>
      <c r="AC41" s="21">
        <v>5341382</v>
      </c>
      <c r="AD41" s="21">
        <v>1199325</v>
      </c>
      <c r="AE41" s="21">
        <v>4022180</v>
      </c>
      <c r="AF41" s="21">
        <v>251244</v>
      </c>
      <c r="AG41" s="21">
        <v>1074902</v>
      </c>
      <c r="AH41" s="21">
        <v>40637</v>
      </c>
      <c r="AI41" s="21">
        <v>73863</v>
      </c>
      <c r="AJ41" s="21">
        <v>38308</v>
      </c>
      <c r="AK41" s="21">
        <v>131491</v>
      </c>
      <c r="AL41" s="21">
        <v>10724</v>
      </c>
      <c r="AM41" s="21">
        <v>27299</v>
      </c>
      <c r="AN41" s="21">
        <v>80920</v>
      </c>
      <c r="AO41" s="21">
        <v>227271</v>
      </c>
      <c r="AP41" s="21">
        <v>542500.45200000005</v>
      </c>
      <c r="AQ41" s="21">
        <v>1256156.307</v>
      </c>
      <c r="AR41" s="21">
        <v>467802</v>
      </c>
      <c r="AS41" s="21">
        <v>3614732</v>
      </c>
      <c r="AT41" s="21">
        <v>1098173</v>
      </c>
      <c r="AU41" s="21">
        <v>4000030</v>
      </c>
      <c r="AV41" s="21">
        <v>490</v>
      </c>
      <c r="AW41" s="21">
        <v>2241</v>
      </c>
      <c r="AX41" s="21">
        <v>100193</v>
      </c>
      <c r="AY41" s="21">
        <v>445377</v>
      </c>
      <c r="AZ41" s="21">
        <v>347827</v>
      </c>
      <c r="BA41" s="21">
        <v>1033728</v>
      </c>
      <c r="BB41" s="21">
        <v>111186</v>
      </c>
      <c r="BC41" s="21">
        <v>443567</v>
      </c>
      <c r="BD41" s="21">
        <v>1631446</v>
      </c>
      <c r="BE41" s="21">
        <v>3827666</v>
      </c>
      <c r="BF41" s="21">
        <v>129677</v>
      </c>
      <c r="BG41" s="21">
        <v>294892</v>
      </c>
      <c r="BH41" s="21"/>
      <c r="BI41" s="21"/>
      <c r="BJ41" s="21">
        <v>880625</v>
      </c>
      <c r="BK41" s="21">
        <v>2339482</v>
      </c>
      <c r="BL41" s="21">
        <v>820135</v>
      </c>
      <c r="BM41" s="21">
        <v>2510338</v>
      </c>
      <c r="BN41" s="21">
        <v>117958</v>
      </c>
      <c r="BO41" s="21">
        <v>340634</v>
      </c>
      <c r="BP41" s="21">
        <f>B41+D41+F41+H41+J41+L41+N41+P41+R41+T41+V41+X41+Z41+AB41+AD41+AF41+AH41+AJ41+AL41+AN41+AP41+AR41+AT41+AV41+AX41+AZ41+BB41+BD41+BF41+BH41+BJ41+BL41+BN41</f>
        <v>11856075.452</v>
      </c>
      <c r="BQ41" s="21">
        <f>C41+E41+G41+I41+K41+M41+O41+Q41+S41+U41+W41+Y41+AA41+AC41+AE41+AG41+AI41+AK41+AM41+AO41+AQ41+AS41+AU41+AW41+AY41+BA41+BC41+BE41+BG41+BI41+BK41+BM41+BO41</f>
        <v>37732198.306999996</v>
      </c>
    </row>
    <row r="42" spans="1:69" s="10" customFormat="1" x14ac:dyDescent="0.25">
      <c r="A42" s="25" t="s">
        <v>213</v>
      </c>
      <c r="B42" s="45">
        <v>3050</v>
      </c>
      <c r="C42" s="45">
        <v>3446</v>
      </c>
      <c r="D42" s="45">
        <v>199814</v>
      </c>
      <c r="E42" s="45">
        <v>467353</v>
      </c>
      <c r="F42" s="45"/>
      <c r="G42" s="45"/>
      <c r="H42" s="45">
        <v>427066</v>
      </c>
      <c r="I42" s="45">
        <v>1124081</v>
      </c>
      <c r="J42" s="45">
        <v>606606</v>
      </c>
      <c r="K42" s="45">
        <v>1696660</v>
      </c>
      <c r="L42" s="45">
        <v>39541</v>
      </c>
      <c r="M42" s="45">
        <v>156868</v>
      </c>
      <c r="N42" s="45">
        <v>587492</v>
      </c>
      <c r="O42" s="45">
        <v>1909210</v>
      </c>
      <c r="P42" s="45">
        <v>18027</v>
      </c>
      <c r="Q42" s="45">
        <v>111570</v>
      </c>
      <c r="R42" s="45">
        <v>568</v>
      </c>
      <c r="S42" s="45">
        <v>91069</v>
      </c>
      <c r="T42" s="45"/>
      <c r="U42" s="45"/>
      <c r="V42" s="45"/>
      <c r="W42" s="45"/>
      <c r="X42" s="45">
        <v>123999</v>
      </c>
      <c r="Y42" s="45">
        <v>387610</v>
      </c>
      <c r="Z42" s="45"/>
      <c r="AA42" s="45"/>
      <c r="AB42" s="45">
        <v>1272135</v>
      </c>
      <c r="AC42" s="45">
        <v>3731153</v>
      </c>
      <c r="AD42" s="45">
        <v>1027232</v>
      </c>
      <c r="AE42" s="45">
        <v>3263543</v>
      </c>
      <c r="AF42" s="45">
        <v>182660</v>
      </c>
      <c r="AG42" s="45">
        <v>879084</v>
      </c>
      <c r="AH42" s="45">
        <v>15390</v>
      </c>
      <c r="AI42" s="45">
        <v>28481</v>
      </c>
      <c r="AJ42" s="45">
        <v>37299</v>
      </c>
      <c r="AK42" s="45">
        <v>129888</v>
      </c>
      <c r="AL42" s="45">
        <v>4983</v>
      </c>
      <c r="AM42" s="45">
        <v>54825</v>
      </c>
      <c r="AN42" s="45">
        <v>66239</v>
      </c>
      <c r="AO42" s="45">
        <v>191753</v>
      </c>
      <c r="AP42" s="45">
        <v>515375.43000000005</v>
      </c>
      <c r="AQ42" s="45">
        <v>1193348.4920000001</v>
      </c>
      <c r="AR42" s="45">
        <v>447993</v>
      </c>
      <c r="AS42" s="45">
        <v>3445309</v>
      </c>
      <c r="AT42" s="45">
        <v>818200</v>
      </c>
      <c r="AU42" s="45">
        <v>3409739</v>
      </c>
      <c r="AV42" s="45">
        <v>97</v>
      </c>
      <c r="AW42" s="45">
        <v>444</v>
      </c>
      <c r="AX42" s="45">
        <v>90698</v>
      </c>
      <c r="AY42" s="45">
        <v>402812</v>
      </c>
      <c r="AZ42" s="45">
        <v>295524</v>
      </c>
      <c r="BA42" s="45">
        <v>847488</v>
      </c>
      <c r="BB42" s="45">
        <v>101310</v>
      </c>
      <c r="BC42" s="45">
        <v>398420</v>
      </c>
      <c r="BD42" s="45">
        <v>1543750</v>
      </c>
      <c r="BE42" s="45">
        <v>3625877</v>
      </c>
      <c r="BF42" s="45">
        <v>13903</v>
      </c>
      <c r="BG42" s="45">
        <v>30583</v>
      </c>
      <c r="BH42" s="45"/>
      <c r="BI42" s="45"/>
      <c r="BJ42" s="45">
        <v>388475</v>
      </c>
      <c r="BK42" s="45">
        <v>1169612</v>
      </c>
      <c r="BL42" s="45">
        <v>716535</v>
      </c>
      <c r="BM42" s="45">
        <v>2221836</v>
      </c>
      <c r="BN42" s="45">
        <v>83319</v>
      </c>
      <c r="BO42" s="45">
        <v>249638</v>
      </c>
      <c r="BP42" s="21">
        <f t="shared" ref="BP42:BP43" si="10">B42+D42+F42+H42+J42+L42+N42+P42+R42+T42+V42+X42+Z42+AB42+AD42+AF42+AH42+AJ42+AL42+AN42+AP42+AR42+AT42+AV42+AX42+AZ42+BB42+BD42+BF42+BH42+BJ42+BL42+BN42</f>
        <v>9627280.4299999997</v>
      </c>
      <c r="BQ42" s="21">
        <f t="shared" ref="BQ42:BQ43" si="11">C42+E42+G42+I42+K42+M42+O42+Q42+S42+U42+W42+Y42+AA42+AC42+AE42+AG42+AI42+AK42+AM42+AO42+AQ42+AS42+AU42+AW42+AY42+BA42+BC42+BE42+BG42+BI42+BK42+BM42+BO42</f>
        <v>31221700.491999999</v>
      </c>
    </row>
    <row r="43" spans="1:69" s="10" customFormat="1" x14ac:dyDescent="0.25">
      <c r="A43" s="25" t="s">
        <v>266</v>
      </c>
      <c r="B43" s="45">
        <v>2611</v>
      </c>
      <c r="C43" s="45">
        <v>2640</v>
      </c>
      <c r="D43" s="45">
        <v>105743</v>
      </c>
      <c r="E43" s="45">
        <v>247782</v>
      </c>
      <c r="F43" s="45"/>
      <c r="G43" s="45"/>
      <c r="H43" s="45">
        <v>389320</v>
      </c>
      <c r="I43" s="45">
        <v>1064673</v>
      </c>
      <c r="J43" s="45">
        <v>487489</v>
      </c>
      <c r="K43" s="45">
        <v>1444066</v>
      </c>
      <c r="L43" s="45">
        <v>45879</v>
      </c>
      <c r="M43" s="45">
        <v>123306</v>
      </c>
      <c r="N43" s="45">
        <v>453284</v>
      </c>
      <c r="O43" s="45">
        <v>1440435</v>
      </c>
      <c r="P43" s="45">
        <v>31627</v>
      </c>
      <c r="Q43" s="45">
        <v>118886</v>
      </c>
      <c r="R43" s="45">
        <v>10382</v>
      </c>
      <c r="S43" s="45">
        <v>54470</v>
      </c>
      <c r="T43" s="45">
        <v>6328</v>
      </c>
      <c r="U43" s="45">
        <v>14900</v>
      </c>
      <c r="V43" s="45"/>
      <c r="W43" s="45"/>
      <c r="X43" s="45">
        <v>131280</v>
      </c>
      <c r="Y43" s="45">
        <v>350858</v>
      </c>
      <c r="Z43" s="45"/>
      <c r="AA43" s="45"/>
      <c r="AB43" s="45">
        <v>994716</v>
      </c>
      <c r="AC43" s="45">
        <v>2825749</v>
      </c>
      <c r="AD43" s="45">
        <v>802069</v>
      </c>
      <c r="AE43" s="45">
        <v>2280650</v>
      </c>
      <c r="AF43" s="45">
        <v>438964</v>
      </c>
      <c r="AG43" s="45">
        <v>954485</v>
      </c>
      <c r="AH43" s="45">
        <v>6708</v>
      </c>
      <c r="AI43" s="45">
        <v>20278</v>
      </c>
      <c r="AJ43" s="45">
        <v>41400</v>
      </c>
      <c r="AK43" s="45">
        <v>119123</v>
      </c>
      <c r="AL43" s="45">
        <v>17061</v>
      </c>
      <c r="AM43" s="45">
        <v>40520</v>
      </c>
      <c r="AN43" s="45">
        <v>43689</v>
      </c>
      <c r="AO43" s="45">
        <v>119763</v>
      </c>
      <c r="AP43" s="45">
        <v>556168.82600000012</v>
      </c>
      <c r="AQ43" s="45">
        <v>1501621.801</v>
      </c>
      <c r="AR43" s="45">
        <v>1057636</v>
      </c>
      <c r="AS43" s="45">
        <v>3521758</v>
      </c>
      <c r="AT43" s="45">
        <v>833099</v>
      </c>
      <c r="AU43" s="45">
        <v>3395999</v>
      </c>
      <c r="AV43" s="45">
        <v>121</v>
      </c>
      <c r="AW43" s="45">
        <v>291</v>
      </c>
      <c r="AX43" s="45">
        <v>75655</v>
      </c>
      <c r="AY43" s="45">
        <v>223060</v>
      </c>
      <c r="AZ43" s="45">
        <v>257946</v>
      </c>
      <c r="BA43" s="45">
        <v>698142</v>
      </c>
      <c r="BB43" s="45">
        <v>124708</v>
      </c>
      <c r="BC43" s="45">
        <v>370128</v>
      </c>
      <c r="BD43" s="45">
        <v>1260662</v>
      </c>
      <c r="BE43" s="45">
        <v>3510341</v>
      </c>
      <c r="BF43" s="45">
        <v>10002</v>
      </c>
      <c r="BG43" s="45">
        <v>20646</v>
      </c>
      <c r="BH43" s="45"/>
      <c r="BI43" s="45"/>
      <c r="BJ43" s="45">
        <v>402342</v>
      </c>
      <c r="BK43" s="45">
        <v>1043599</v>
      </c>
      <c r="BL43" s="45">
        <v>674154</v>
      </c>
      <c r="BM43" s="45">
        <v>1872712</v>
      </c>
      <c r="BN43" s="45">
        <v>71973</v>
      </c>
      <c r="BO43" s="45">
        <v>189200</v>
      </c>
      <c r="BP43" s="21">
        <f t="shared" si="10"/>
        <v>9333016.8260000013</v>
      </c>
      <c r="BQ43" s="21">
        <f t="shared" si="11"/>
        <v>27570081.800999999</v>
      </c>
    </row>
    <row r="44" spans="1:69" s="5" customFormat="1" x14ac:dyDescent="0.25">
      <c r="A44" s="9"/>
    </row>
    <row r="45" spans="1:69" s="5" customFormat="1" x14ac:dyDescent="0.25">
      <c r="A45" s="7" t="s">
        <v>230</v>
      </c>
    </row>
    <row r="46" spans="1:69" s="15" customFormat="1" x14ac:dyDescent="0.25">
      <c r="A46" s="23" t="s">
        <v>0</v>
      </c>
      <c r="B46" s="110" t="s">
        <v>1</v>
      </c>
      <c r="C46" s="110"/>
      <c r="D46" s="110" t="s">
        <v>2</v>
      </c>
      <c r="E46" s="110"/>
      <c r="F46" s="110" t="s">
        <v>3</v>
      </c>
      <c r="G46" s="110"/>
      <c r="H46" s="110" t="s">
        <v>4</v>
      </c>
      <c r="I46" s="110"/>
      <c r="J46" s="110" t="s">
        <v>5</v>
      </c>
      <c r="K46" s="110"/>
      <c r="L46" s="110" t="s">
        <v>6</v>
      </c>
      <c r="M46" s="110"/>
      <c r="N46" s="110" t="s">
        <v>7</v>
      </c>
      <c r="O46" s="110"/>
      <c r="P46" s="110" t="s">
        <v>8</v>
      </c>
      <c r="Q46" s="110"/>
      <c r="R46" s="110" t="s">
        <v>9</v>
      </c>
      <c r="S46" s="110"/>
      <c r="T46" s="110" t="s">
        <v>10</v>
      </c>
      <c r="U46" s="110"/>
      <c r="V46" s="110" t="s">
        <v>11</v>
      </c>
      <c r="W46" s="110"/>
      <c r="X46" s="110" t="s">
        <v>12</v>
      </c>
      <c r="Y46" s="110"/>
      <c r="Z46" s="110" t="s">
        <v>13</v>
      </c>
      <c r="AA46" s="110"/>
      <c r="AB46" s="110" t="s">
        <v>14</v>
      </c>
      <c r="AC46" s="110"/>
      <c r="AD46" s="110" t="s">
        <v>15</v>
      </c>
      <c r="AE46" s="110"/>
      <c r="AF46" s="110" t="s">
        <v>16</v>
      </c>
      <c r="AG46" s="110"/>
      <c r="AH46" s="110" t="s">
        <v>17</v>
      </c>
      <c r="AI46" s="110"/>
      <c r="AJ46" s="110" t="s">
        <v>18</v>
      </c>
      <c r="AK46" s="110"/>
      <c r="AL46" s="110" t="s">
        <v>19</v>
      </c>
      <c r="AM46" s="110"/>
      <c r="AN46" s="110" t="s">
        <v>20</v>
      </c>
      <c r="AO46" s="110"/>
      <c r="AP46" s="110" t="s">
        <v>21</v>
      </c>
      <c r="AQ46" s="110"/>
      <c r="AR46" s="110" t="s">
        <v>161</v>
      </c>
      <c r="AS46" s="110"/>
      <c r="AT46" s="110" t="s">
        <v>162</v>
      </c>
      <c r="AU46" s="110"/>
      <c r="AV46" s="110" t="s">
        <v>22</v>
      </c>
      <c r="AW46" s="110"/>
      <c r="AX46" s="110" t="s">
        <v>23</v>
      </c>
      <c r="AY46" s="110"/>
      <c r="AZ46" s="110" t="s">
        <v>24</v>
      </c>
      <c r="BA46" s="110"/>
      <c r="BB46" s="110" t="s">
        <v>25</v>
      </c>
      <c r="BC46" s="110"/>
      <c r="BD46" s="110" t="s">
        <v>26</v>
      </c>
      <c r="BE46" s="110"/>
      <c r="BF46" s="110" t="s">
        <v>27</v>
      </c>
      <c r="BG46" s="110"/>
      <c r="BH46" s="110" t="s">
        <v>28</v>
      </c>
      <c r="BI46" s="110"/>
      <c r="BJ46" s="110" t="s">
        <v>29</v>
      </c>
      <c r="BK46" s="110"/>
      <c r="BL46" s="110" t="s">
        <v>30</v>
      </c>
      <c r="BM46" s="110"/>
      <c r="BN46" s="110" t="s">
        <v>31</v>
      </c>
      <c r="BO46" s="110"/>
      <c r="BP46" s="110" t="s">
        <v>304</v>
      </c>
      <c r="BQ46" s="110"/>
    </row>
    <row r="47" spans="1:69" s="43" customFormat="1" ht="44.25" customHeight="1" x14ac:dyDescent="0.25">
      <c r="A47" s="44"/>
      <c r="B47" s="44" t="s">
        <v>286</v>
      </c>
      <c r="C47" s="44" t="s">
        <v>287</v>
      </c>
      <c r="D47" s="44" t="s">
        <v>286</v>
      </c>
      <c r="E47" s="44" t="s">
        <v>287</v>
      </c>
      <c r="F47" s="44" t="s">
        <v>286</v>
      </c>
      <c r="G47" s="44" t="s">
        <v>287</v>
      </c>
      <c r="H47" s="44" t="s">
        <v>286</v>
      </c>
      <c r="I47" s="44" t="s">
        <v>287</v>
      </c>
      <c r="J47" s="44" t="s">
        <v>286</v>
      </c>
      <c r="K47" s="44" t="s">
        <v>287</v>
      </c>
      <c r="L47" s="44" t="s">
        <v>286</v>
      </c>
      <c r="M47" s="44" t="s">
        <v>287</v>
      </c>
      <c r="N47" s="44" t="s">
        <v>286</v>
      </c>
      <c r="O47" s="44" t="s">
        <v>287</v>
      </c>
      <c r="P47" s="44" t="s">
        <v>286</v>
      </c>
      <c r="Q47" s="44" t="s">
        <v>287</v>
      </c>
      <c r="R47" s="44" t="s">
        <v>286</v>
      </c>
      <c r="S47" s="44" t="s">
        <v>287</v>
      </c>
      <c r="T47" s="44" t="s">
        <v>286</v>
      </c>
      <c r="U47" s="44" t="s">
        <v>287</v>
      </c>
      <c r="V47" s="44" t="s">
        <v>286</v>
      </c>
      <c r="W47" s="44" t="s">
        <v>287</v>
      </c>
      <c r="X47" s="44" t="s">
        <v>286</v>
      </c>
      <c r="Y47" s="44" t="s">
        <v>287</v>
      </c>
      <c r="Z47" s="44" t="s">
        <v>286</v>
      </c>
      <c r="AA47" s="44" t="s">
        <v>287</v>
      </c>
      <c r="AB47" s="44" t="s">
        <v>286</v>
      </c>
      <c r="AC47" s="44" t="s">
        <v>287</v>
      </c>
      <c r="AD47" s="44" t="s">
        <v>286</v>
      </c>
      <c r="AE47" s="44" t="s">
        <v>287</v>
      </c>
      <c r="AF47" s="44" t="s">
        <v>286</v>
      </c>
      <c r="AG47" s="44" t="s">
        <v>287</v>
      </c>
      <c r="AH47" s="44" t="s">
        <v>286</v>
      </c>
      <c r="AI47" s="44" t="s">
        <v>287</v>
      </c>
      <c r="AJ47" s="44" t="s">
        <v>286</v>
      </c>
      <c r="AK47" s="44" t="s">
        <v>287</v>
      </c>
      <c r="AL47" s="44" t="s">
        <v>286</v>
      </c>
      <c r="AM47" s="44" t="s">
        <v>287</v>
      </c>
      <c r="AN47" s="44" t="s">
        <v>286</v>
      </c>
      <c r="AO47" s="44" t="s">
        <v>287</v>
      </c>
      <c r="AP47" s="44" t="s">
        <v>286</v>
      </c>
      <c r="AQ47" s="44" t="s">
        <v>287</v>
      </c>
      <c r="AR47" s="44" t="s">
        <v>286</v>
      </c>
      <c r="AS47" s="44" t="s">
        <v>287</v>
      </c>
      <c r="AT47" s="44" t="s">
        <v>286</v>
      </c>
      <c r="AU47" s="44" t="s">
        <v>287</v>
      </c>
      <c r="AV47" s="44" t="s">
        <v>286</v>
      </c>
      <c r="AW47" s="44" t="s">
        <v>287</v>
      </c>
      <c r="AX47" s="44" t="s">
        <v>286</v>
      </c>
      <c r="AY47" s="44" t="s">
        <v>287</v>
      </c>
      <c r="AZ47" s="44" t="s">
        <v>286</v>
      </c>
      <c r="BA47" s="44" t="s">
        <v>287</v>
      </c>
      <c r="BB47" s="44" t="s">
        <v>286</v>
      </c>
      <c r="BC47" s="44" t="s">
        <v>287</v>
      </c>
      <c r="BD47" s="44" t="s">
        <v>286</v>
      </c>
      <c r="BE47" s="44" t="s">
        <v>287</v>
      </c>
      <c r="BF47" s="44" t="s">
        <v>286</v>
      </c>
      <c r="BG47" s="44" t="s">
        <v>287</v>
      </c>
      <c r="BH47" s="44" t="s">
        <v>286</v>
      </c>
      <c r="BI47" s="44" t="s">
        <v>287</v>
      </c>
      <c r="BJ47" s="44" t="s">
        <v>286</v>
      </c>
      <c r="BK47" s="44" t="s">
        <v>287</v>
      </c>
      <c r="BL47" s="44" t="s">
        <v>286</v>
      </c>
      <c r="BM47" s="44" t="s">
        <v>287</v>
      </c>
      <c r="BN47" s="44" t="s">
        <v>286</v>
      </c>
      <c r="BO47" s="44" t="s">
        <v>287</v>
      </c>
      <c r="BP47" s="44" t="s">
        <v>286</v>
      </c>
      <c r="BQ47" s="44" t="s">
        <v>287</v>
      </c>
    </row>
    <row r="48" spans="1:69" ht="30" x14ac:dyDescent="0.25">
      <c r="A48" s="25" t="s">
        <v>68</v>
      </c>
      <c r="B48" s="21">
        <v>312782</v>
      </c>
      <c r="C48" s="21">
        <v>333944</v>
      </c>
      <c r="D48" s="21"/>
      <c r="E48" s="21"/>
      <c r="F48" s="21"/>
      <c r="G48" s="21"/>
      <c r="H48" s="21"/>
      <c r="I48" s="21"/>
      <c r="J48" s="21">
        <v>66896</v>
      </c>
      <c r="K48" s="21">
        <v>300369</v>
      </c>
      <c r="L48" s="21">
        <v>56634</v>
      </c>
      <c r="M48" s="21">
        <v>187565</v>
      </c>
      <c r="N48" s="21">
        <v>30017</v>
      </c>
      <c r="O48" s="21">
        <v>80971</v>
      </c>
      <c r="P48" s="21"/>
      <c r="Q48" s="21"/>
      <c r="R48" s="21"/>
      <c r="S48" s="21"/>
      <c r="T48" s="21"/>
      <c r="U48" s="21"/>
      <c r="V48" s="21"/>
      <c r="W48" s="21"/>
      <c r="X48" s="21">
        <v>47107</v>
      </c>
      <c r="Y48" s="21">
        <v>134010</v>
      </c>
      <c r="Z48" s="21"/>
      <c r="AA48" s="21"/>
      <c r="AB48" s="21">
        <f>4991+914+266169</f>
        <v>272074</v>
      </c>
      <c r="AC48" s="21">
        <f>20250+9425+670548</f>
        <v>700223</v>
      </c>
      <c r="AD48" s="21">
        <v>38107</v>
      </c>
      <c r="AE48" s="21">
        <v>294467</v>
      </c>
      <c r="AF48" s="21">
        <v>60094</v>
      </c>
      <c r="AG48" s="21">
        <v>233680</v>
      </c>
      <c r="AH48" s="21"/>
      <c r="AI48" s="21"/>
      <c r="AJ48" s="21">
        <v>55770</v>
      </c>
      <c r="AK48" s="21">
        <v>84705</v>
      </c>
      <c r="AL48" s="21">
        <v>68108</v>
      </c>
      <c r="AM48" s="21">
        <f>124607+308</f>
        <v>124915</v>
      </c>
      <c r="AN48" s="21"/>
      <c r="AO48" s="21"/>
      <c r="AP48" s="21">
        <f>102648+202160.6046625</f>
        <v>304808.60466249997</v>
      </c>
      <c r="AQ48" s="21">
        <f>343639.7015922+430038.0429625</f>
        <v>773677.7445547001</v>
      </c>
      <c r="AR48" s="21">
        <v>568725</v>
      </c>
      <c r="AS48" s="21">
        <v>1414086</v>
      </c>
      <c r="AT48" s="21">
        <v>145985</v>
      </c>
      <c r="AU48" s="21">
        <v>488744</v>
      </c>
      <c r="AV48" s="21">
        <f>3904+6062+66089</f>
        <v>76055</v>
      </c>
      <c r="AW48" s="21">
        <f>9632+31275+198136</f>
        <v>239043</v>
      </c>
      <c r="AX48" s="21">
        <v>72662</v>
      </c>
      <c r="AY48" s="21">
        <v>265614</v>
      </c>
      <c r="AZ48" s="21"/>
      <c r="BA48" s="21"/>
      <c r="BB48" s="21">
        <v>18115</v>
      </c>
      <c r="BC48" s="21">
        <v>56255</v>
      </c>
      <c r="BD48" s="21">
        <v>30633</v>
      </c>
      <c r="BE48" s="21">
        <v>74023</v>
      </c>
      <c r="BF48" s="21">
        <v>824</v>
      </c>
      <c r="BG48" s="21">
        <v>4455</v>
      </c>
      <c r="BH48" s="21"/>
      <c r="BI48" s="21"/>
      <c r="BJ48" s="21">
        <v>808778</v>
      </c>
      <c r="BK48" s="21">
        <v>2441240</v>
      </c>
      <c r="BL48" s="21">
        <v>108053</v>
      </c>
      <c r="BM48" s="21">
        <v>880412</v>
      </c>
      <c r="BN48" s="21">
        <v>2523</v>
      </c>
      <c r="BO48" s="21">
        <v>8819</v>
      </c>
      <c r="BP48" s="21">
        <f t="shared" ref="BP48:BP50" si="12">B48+D48+F48+H48+J48+L48+N48+P48+R48+T48+V48+X48+Z48+AB48+AD48+AF48+AH48+AJ48+AL48+AN48+AP48+AR48+AT48+AV48+AX48+AZ48+BB48+BD48+BF48+BH48+BJ48+BL48+BN48</f>
        <v>3144750.6046624999</v>
      </c>
      <c r="BQ48" s="21">
        <f t="shared" ref="BQ48:BQ50" si="13">C48+E48+G48+I48+K48+M48+O48+Q48+S48+U48+W48+Y48+AA48+AC48+AE48+AG48+AI48+AK48+AM48+AO48+AQ48+AS48+AU48+AW48+AY48+BA48+BC48+BE48+BG48+BI48+BK48+BM48+BO48</f>
        <v>9121217.7445547003</v>
      </c>
    </row>
    <row r="49" spans="1:69" s="10" customFormat="1" x14ac:dyDescent="0.25">
      <c r="A49" s="25" t="s">
        <v>213</v>
      </c>
      <c r="B49" s="45">
        <v>109473</v>
      </c>
      <c r="C49" s="45">
        <v>116879</v>
      </c>
      <c r="D49" s="45"/>
      <c r="E49" s="45"/>
      <c r="F49" s="45"/>
      <c r="G49" s="45"/>
      <c r="H49" s="45"/>
      <c r="I49" s="45"/>
      <c r="J49" s="45">
        <v>35398</v>
      </c>
      <c r="K49" s="45">
        <v>102075</v>
      </c>
      <c r="L49" s="45">
        <v>34447</v>
      </c>
      <c r="M49" s="45">
        <v>113786</v>
      </c>
      <c r="N49" s="45">
        <v>7872</v>
      </c>
      <c r="O49" s="45">
        <v>35524</v>
      </c>
      <c r="P49" s="45"/>
      <c r="Q49" s="45"/>
      <c r="R49" s="45"/>
      <c r="S49" s="45"/>
      <c r="T49" s="45"/>
      <c r="U49" s="45"/>
      <c r="V49" s="45"/>
      <c r="W49" s="45"/>
      <c r="X49" s="45">
        <v>15270</v>
      </c>
      <c r="Y49" s="45">
        <v>48536</v>
      </c>
      <c r="Z49" s="45"/>
      <c r="AA49" s="45"/>
      <c r="AB49" s="45">
        <f>4164+377+113526</f>
        <v>118067</v>
      </c>
      <c r="AC49" s="45">
        <f>14449+5310+276894</f>
        <v>296653</v>
      </c>
      <c r="AD49" s="45">
        <v>45642</v>
      </c>
      <c r="AE49" s="45">
        <v>116138</v>
      </c>
      <c r="AF49" s="45">
        <v>42500</v>
      </c>
      <c r="AG49" s="45">
        <v>150788</v>
      </c>
      <c r="AH49" s="45"/>
      <c r="AI49" s="45"/>
      <c r="AJ49" s="45">
        <v>19269</v>
      </c>
      <c r="AK49" s="45">
        <v>31508</v>
      </c>
      <c r="AL49" s="45">
        <v>1875</v>
      </c>
      <c r="AM49" s="45">
        <f>260+4148</f>
        <v>4408</v>
      </c>
      <c r="AN49" s="45"/>
      <c r="AO49" s="45"/>
      <c r="AP49" s="45">
        <f>97328+192051.0754174</f>
        <v>289379.07541739999</v>
      </c>
      <c r="AQ49" s="45">
        <f>326231+408533.926575</f>
        <v>734764.92657499993</v>
      </c>
      <c r="AR49" s="45">
        <v>267572</v>
      </c>
      <c r="AS49" s="45">
        <v>695200</v>
      </c>
      <c r="AT49" s="45">
        <v>65477</v>
      </c>
      <c r="AU49" s="45">
        <v>357557</v>
      </c>
      <c r="AV49" s="45">
        <f>3085+7782+65378</f>
        <v>76245</v>
      </c>
      <c r="AW49" s="45">
        <f>7614+27011+206710</f>
        <v>241335</v>
      </c>
      <c r="AX49" s="45">
        <v>65668</v>
      </c>
      <c r="AY49" s="45">
        <v>194568</v>
      </c>
      <c r="AZ49" s="45"/>
      <c r="BA49" s="45"/>
      <c r="BB49" s="45">
        <v>9523</v>
      </c>
      <c r="BC49" s="45">
        <v>29557</v>
      </c>
      <c r="BD49" s="45">
        <v>11733</v>
      </c>
      <c r="BE49" s="45">
        <v>26831</v>
      </c>
      <c r="BF49" s="45">
        <v>573</v>
      </c>
      <c r="BG49" s="45">
        <v>3100</v>
      </c>
      <c r="BH49" s="45"/>
      <c r="BI49" s="45"/>
      <c r="BJ49" s="45">
        <v>328544</v>
      </c>
      <c r="BK49" s="45">
        <v>1081707</v>
      </c>
      <c r="BL49" s="45">
        <v>90441</v>
      </c>
      <c r="BM49" s="45">
        <v>646611</v>
      </c>
      <c r="BN49" s="45">
        <v>1131</v>
      </c>
      <c r="BO49" s="45">
        <v>5470</v>
      </c>
      <c r="BP49" s="21">
        <f t="shared" si="12"/>
        <v>1636099.0754173999</v>
      </c>
      <c r="BQ49" s="21">
        <f t="shared" si="13"/>
        <v>5032995.9265749995</v>
      </c>
    </row>
    <row r="50" spans="1:69" s="10" customFormat="1" x14ac:dyDescent="0.25">
      <c r="A50" s="25" t="s">
        <v>266</v>
      </c>
      <c r="B50" s="45">
        <v>18146</v>
      </c>
      <c r="C50" s="45">
        <v>19342</v>
      </c>
      <c r="D50" s="45"/>
      <c r="E50" s="45"/>
      <c r="F50" s="45"/>
      <c r="G50" s="45"/>
      <c r="H50" s="45"/>
      <c r="I50" s="45"/>
      <c r="J50" s="45">
        <v>32843</v>
      </c>
      <c r="K50" s="45">
        <v>98014</v>
      </c>
      <c r="L50" s="45">
        <v>37364</v>
      </c>
      <c r="M50" s="45">
        <v>101667</v>
      </c>
      <c r="N50" s="45">
        <v>16780</v>
      </c>
      <c r="O50" s="45">
        <v>36885</v>
      </c>
      <c r="P50" s="45"/>
      <c r="Q50" s="45"/>
      <c r="R50" s="45"/>
      <c r="S50" s="45"/>
      <c r="T50" s="45">
        <v>1</v>
      </c>
      <c r="U50" s="45">
        <v>3</v>
      </c>
      <c r="V50" s="45"/>
      <c r="W50" s="45"/>
      <c r="X50" s="45">
        <v>17117</v>
      </c>
      <c r="Y50" s="45">
        <v>50127</v>
      </c>
      <c r="Z50" s="45"/>
      <c r="AA50" s="45"/>
      <c r="AB50" s="45">
        <f>4786+1498+70771</f>
        <v>77055</v>
      </c>
      <c r="AC50" s="45">
        <f>12100+4144+209911</f>
        <v>226155</v>
      </c>
      <c r="AD50" s="45">
        <v>45885</v>
      </c>
      <c r="AE50" s="45">
        <v>105051</v>
      </c>
      <c r="AF50" s="45">
        <v>48227</v>
      </c>
      <c r="AG50" s="45">
        <v>136995</v>
      </c>
      <c r="AH50" s="45"/>
      <c r="AI50" s="45"/>
      <c r="AJ50" s="45">
        <v>10379</v>
      </c>
      <c r="AK50" s="45">
        <v>24155</v>
      </c>
      <c r="AL50" s="45">
        <v>2033</v>
      </c>
      <c r="AM50" s="45">
        <f>182+5992</f>
        <v>6174</v>
      </c>
      <c r="AN50" s="45"/>
      <c r="AO50" s="45"/>
      <c r="AP50" s="45">
        <f>99285+136394.0934174</f>
        <v>235679.0934174</v>
      </c>
      <c r="AQ50" s="45">
        <f>333767+402997.142575</f>
        <v>736764.14257499995</v>
      </c>
      <c r="AR50" s="45">
        <v>445305</v>
      </c>
      <c r="AS50" s="45">
        <v>487724</v>
      </c>
      <c r="AT50" s="45">
        <v>112823</v>
      </c>
      <c r="AU50" s="45">
        <v>335896</v>
      </c>
      <c r="AV50" s="45">
        <f>2430+10459+61879</f>
        <v>74768</v>
      </c>
      <c r="AW50" s="45">
        <f>5451+33401+179711</f>
        <v>218563</v>
      </c>
      <c r="AX50" s="45">
        <v>69005</v>
      </c>
      <c r="AY50" s="45">
        <v>163699</v>
      </c>
      <c r="AZ50" s="45"/>
      <c r="BA50" s="45"/>
      <c r="BB50" s="45">
        <v>8845</v>
      </c>
      <c r="BC50" s="45">
        <v>25736</v>
      </c>
      <c r="BD50" s="45">
        <v>9958</v>
      </c>
      <c r="BE50" s="45">
        <v>28577</v>
      </c>
      <c r="BF50" s="45">
        <v>1018</v>
      </c>
      <c r="BG50" s="45">
        <v>3565</v>
      </c>
      <c r="BH50" s="45"/>
      <c r="BI50" s="45"/>
      <c r="BJ50" s="45">
        <v>376984</v>
      </c>
      <c r="BK50" s="45">
        <v>1108756</v>
      </c>
      <c r="BL50" s="45">
        <v>94542</v>
      </c>
      <c r="BM50" s="45">
        <v>646386</v>
      </c>
      <c r="BN50" s="45">
        <v>1339</v>
      </c>
      <c r="BO50" s="45">
        <v>4194</v>
      </c>
      <c r="BP50" s="21">
        <f t="shared" si="12"/>
        <v>1736096.0934174</v>
      </c>
      <c r="BQ50" s="21">
        <f t="shared" si="13"/>
        <v>4564428.1425749995</v>
      </c>
    </row>
    <row r="51" spans="1:69" s="10" customFormat="1" x14ac:dyDescent="0.25">
      <c r="A51" s="74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1"/>
      <c r="BQ51" s="11"/>
    </row>
    <row r="52" spans="1:69" s="10" customFormat="1" x14ac:dyDescent="0.25">
      <c r="A52" s="75" t="s">
        <v>306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1"/>
      <c r="BQ52" s="11"/>
    </row>
    <row r="53" spans="1:69" s="15" customFormat="1" x14ac:dyDescent="0.25">
      <c r="A53" s="23" t="s">
        <v>0</v>
      </c>
      <c r="B53" s="110" t="s">
        <v>1</v>
      </c>
      <c r="C53" s="110"/>
      <c r="D53" s="110" t="s">
        <v>2</v>
      </c>
      <c r="E53" s="110"/>
      <c r="F53" s="110" t="s">
        <v>3</v>
      </c>
      <c r="G53" s="110"/>
      <c r="H53" s="110" t="s">
        <v>4</v>
      </c>
      <c r="I53" s="110"/>
      <c r="J53" s="110" t="s">
        <v>5</v>
      </c>
      <c r="K53" s="110"/>
      <c r="L53" s="110" t="s">
        <v>6</v>
      </c>
      <c r="M53" s="110"/>
      <c r="N53" s="110" t="s">
        <v>7</v>
      </c>
      <c r="O53" s="110"/>
      <c r="P53" s="110" t="s">
        <v>8</v>
      </c>
      <c r="Q53" s="110"/>
      <c r="R53" s="110" t="s">
        <v>9</v>
      </c>
      <c r="S53" s="110"/>
      <c r="T53" s="110" t="s">
        <v>10</v>
      </c>
      <c r="U53" s="110"/>
      <c r="V53" s="110" t="s">
        <v>11</v>
      </c>
      <c r="W53" s="110"/>
      <c r="X53" s="110" t="s">
        <v>12</v>
      </c>
      <c r="Y53" s="110"/>
      <c r="Z53" s="110" t="s">
        <v>13</v>
      </c>
      <c r="AA53" s="110"/>
      <c r="AB53" s="110" t="s">
        <v>14</v>
      </c>
      <c r="AC53" s="110"/>
      <c r="AD53" s="110" t="s">
        <v>15</v>
      </c>
      <c r="AE53" s="110"/>
      <c r="AF53" s="110" t="s">
        <v>16</v>
      </c>
      <c r="AG53" s="110"/>
      <c r="AH53" s="110" t="s">
        <v>17</v>
      </c>
      <c r="AI53" s="110"/>
      <c r="AJ53" s="110" t="s">
        <v>18</v>
      </c>
      <c r="AK53" s="110"/>
      <c r="AL53" s="110" t="s">
        <v>19</v>
      </c>
      <c r="AM53" s="110"/>
      <c r="AN53" s="110" t="s">
        <v>20</v>
      </c>
      <c r="AO53" s="110"/>
      <c r="AP53" s="110" t="s">
        <v>21</v>
      </c>
      <c r="AQ53" s="110"/>
      <c r="AR53" s="110" t="s">
        <v>161</v>
      </c>
      <c r="AS53" s="110"/>
      <c r="AT53" s="110" t="s">
        <v>162</v>
      </c>
      <c r="AU53" s="110"/>
      <c r="AV53" s="110" t="s">
        <v>22</v>
      </c>
      <c r="AW53" s="110"/>
      <c r="AX53" s="110" t="s">
        <v>23</v>
      </c>
      <c r="AY53" s="110"/>
      <c r="AZ53" s="110" t="s">
        <v>24</v>
      </c>
      <c r="BA53" s="110"/>
      <c r="BB53" s="110" t="s">
        <v>25</v>
      </c>
      <c r="BC53" s="110"/>
      <c r="BD53" s="110" t="s">
        <v>26</v>
      </c>
      <c r="BE53" s="110"/>
      <c r="BF53" s="110" t="s">
        <v>27</v>
      </c>
      <c r="BG53" s="110"/>
      <c r="BH53" s="110" t="s">
        <v>28</v>
      </c>
      <c r="BI53" s="110"/>
      <c r="BJ53" s="110" t="s">
        <v>29</v>
      </c>
      <c r="BK53" s="110"/>
      <c r="BL53" s="110" t="s">
        <v>30</v>
      </c>
      <c r="BM53" s="110"/>
      <c r="BN53" s="110" t="s">
        <v>31</v>
      </c>
      <c r="BO53" s="110"/>
      <c r="BP53" s="110" t="s">
        <v>304</v>
      </c>
      <c r="BQ53" s="110"/>
    </row>
    <row r="54" spans="1:69" s="43" customFormat="1" ht="44.25" customHeight="1" x14ac:dyDescent="0.25">
      <c r="A54" s="44"/>
      <c r="B54" s="44" t="s">
        <v>286</v>
      </c>
      <c r="C54" s="44" t="s">
        <v>287</v>
      </c>
      <c r="D54" s="44" t="s">
        <v>286</v>
      </c>
      <c r="E54" s="44" t="s">
        <v>287</v>
      </c>
      <c r="F54" s="44" t="s">
        <v>286</v>
      </c>
      <c r="G54" s="44" t="s">
        <v>287</v>
      </c>
      <c r="H54" s="44" t="s">
        <v>286</v>
      </c>
      <c r="I54" s="44" t="s">
        <v>287</v>
      </c>
      <c r="J54" s="44" t="s">
        <v>286</v>
      </c>
      <c r="K54" s="44" t="s">
        <v>287</v>
      </c>
      <c r="L54" s="44" t="s">
        <v>286</v>
      </c>
      <c r="M54" s="44" t="s">
        <v>287</v>
      </c>
      <c r="N54" s="44" t="s">
        <v>286</v>
      </c>
      <c r="O54" s="44" t="s">
        <v>287</v>
      </c>
      <c r="P54" s="44" t="s">
        <v>286</v>
      </c>
      <c r="Q54" s="44" t="s">
        <v>287</v>
      </c>
      <c r="R54" s="44" t="s">
        <v>286</v>
      </c>
      <c r="S54" s="44" t="s">
        <v>287</v>
      </c>
      <c r="T54" s="44" t="s">
        <v>286</v>
      </c>
      <c r="U54" s="44" t="s">
        <v>287</v>
      </c>
      <c r="V54" s="44" t="s">
        <v>286</v>
      </c>
      <c r="W54" s="44" t="s">
        <v>287</v>
      </c>
      <c r="X54" s="44" t="s">
        <v>286</v>
      </c>
      <c r="Y54" s="44" t="s">
        <v>287</v>
      </c>
      <c r="Z54" s="44" t="s">
        <v>286</v>
      </c>
      <c r="AA54" s="44" t="s">
        <v>287</v>
      </c>
      <c r="AB54" s="44" t="s">
        <v>286</v>
      </c>
      <c r="AC54" s="44" t="s">
        <v>287</v>
      </c>
      <c r="AD54" s="44" t="s">
        <v>286</v>
      </c>
      <c r="AE54" s="44" t="s">
        <v>287</v>
      </c>
      <c r="AF54" s="44" t="s">
        <v>286</v>
      </c>
      <c r="AG54" s="44" t="s">
        <v>287</v>
      </c>
      <c r="AH54" s="44" t="s">
        <v>286</v>
      </c>
      <c r="AI54" s="44" t="s">
        <v>287</v>
      </c>
      <c r="AJ54" s="44" t="s">
        <v>286</v>
      </c>
      <c r="AK54" s="44" t="s">
        <v>287</v>
      </c>
      <c r="AL54" s="44" t="s">
        <v>286</v>
      </c>
      <c r="AM54" s="44" t="s">
        <v>287</v>
      </c>
      <c r="AN54" s="44" t="s">
        <v>286</v>
      </c>
      <c r="AO54" s="44" t="s">
        <v>287</v>
      </c>
      <c r="AP54" s="44" t="s">
        <v>286</v>
      </c>
      <c r="AQ54" s="44" t="s">
        <v>287</v>
      </c>
      <c r="AR54" s="44" t="s">
        <v>286</v>
      </c>
      <c r="AS54" s="44" t="s">
        <v>287</v>
      </c>
      <c r="AT54" s="44" t="s">
        <v>286</v>
      </c>
      <c r="AU54" s="44" t="s">
        <v>287</v>
      </c>
      <c r="AV54" s="44" t="s">
        <v>286</v>
      </c>
      <c r="AW54" s="44" t="s">
        <v>287</v>
      </c>
      <c r="AX54" s="44" t="s">
        <v>286</v>
      </c>
      <c r="AY54" s="44" t="s">
        <v>287</v>
      </c>
      <c r="AZ54" s="44" t="s">
        <v>286</v>
      </c>
      <c r="BA54" s="44" t="s">
        <v>287</v>
      </c>
      <c r="BB54" s="44" t="s">
        <v>286</v>
      </c>
      <c r="BC54" s="44" t="s">
        <v>287</v>
      </c>
      <c r="BD54" s="44" t="s">
        <v>286</v>
      </c>
      <c r="BE54" s="44" t="s">
        <v>287</v>
      </c>
      <c r="BF54" s="44" t="s">
        <v>286</v>
      </c>
      <c r="BG54" s="44" t="s">
        <v>287</v>
      </c>
      <c r="BH54" s="44" t="s">
        <v>286</v>
      </c>
      <c r="BI54" s="44" t="s">
        <v>287</v>
      </c>
      <c r="BJ54" s="44" t="s">
        <v>286</v>
      </c>
      <c r="BK54" s="44" t="s">
        <v>287</v>
      </c>
      <c r="BL54" s="44" t="s">
        <v>286</v>
      </c>
      <c r="BM54" s="44" t="s">
        <v>287</v>
      </c>
      <c r="BN54" s="44" t="s">
        <v>286</v>
      </c>
      <c r="BO54" s="44" t="s">
        <v>287</v>
      </c>
      <c r="BP54" s="44" t="s">
        <v>286</v>
      </c>
      <c r="BQ54" s="44" t="s">
        <v>287</v>
      </c>
    </row>
    <row r="55" spans="1:69" ht="30" x14ac:dyDescent="0.25">
      <c r="A55" s="25" t="s">
        <v>68</v>
      </c>
      <c r="B55" s="21"/>
      <c r="C55" s="21"/>
      <c r="D55" s="21"/>
      <c r="E55" s="21"/>
      <c r="F55" s="21"/>
      <c r="G55" s="21"/>
      <c r="H55" s="21"/>
      <c r="I55" s="21"/>
      <c r="J55" s="21">
        <v>10413</v>
      </c>
      <c r="K55" s="21">
        <v>38042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>
        <v>83176</v>
      </c>
      <c r="AC55" s="21">
        <v>212512</v>
      </c>
      <c r="AD55" s="21">
        <v>178214</v>
      </c>
      <c r="AE55" s="21">
        <v>584068</v>
      </c>
      <c r="AF55" s="21">
        <v>745</v>
      </c>
      <c r="AG55" s="21">
        <v>1987</v>
      </c>
      <c r="AH55" s="21"/>
      <c r="AI55" s="21"/>
      <c r="AJ55" s="21"/>
      <c r="AK55" s="21"/>
      <c r="AL55" s="21"/>
      <c r="AM55" s="21"/>
      <c r="AN55" s="21"/>
      <c r="AO55" s="21"/>
      <c r="AP55" s="21">
        <v>-71983.945011700038</v>
      </c>
      <c r="AQ55" s="21">
        <v>554591.88891149999</v>
      </c>
      <c r="AR55" s="21">
        <v>462707</v>
      </c>
      <c r="AS55" s="21">
        <v>1146794</v>
      </c>
      <c r="AT55" s="21">
        <v>325392</v>
      </c>
      <c r="AU55" s="21">
        <v>923804</v>
      </c>
      <c r="AV55" s="21"/>
      <c r="AW55" s="21"/>
      <c r="AX55" s="21">
        <v>35366</v>
      </c>
      <c r="AY55" s="21">
        <v>95658</v>
      </c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>
        <v>10613</v>
      </c>
      <c r="BK55" s="21">
        <v>31968</v>
      </c>
      <c r="BL55" s="21">
        <v>181739</v>
      </c>
      <c r="BM55" s="21">
        <v>340498</v>
      </c>
      <c r="BN55" s="21"/>
      <c r="BO55" s="21"/>
      <c r="BP55" s="21">
        <f t="shared" ref="BP55:BP57" si="14">B55+D55+F55+H55+J55+L55+N55+P55+R55+T55+V55+X55+Z55+AB55+AD55+AF55+AH55+AJ55+AL55+AN55+AP55+AR55+AT55+AV55+AX55+AZ55+BB55+BD55+BF55+BH55+BJ55+BL55+BN55</f>
        <v>1216381.0549883</v>
      </c>
      <c r="BQ55" s="21">
        <f t="shared" ref="BQ55:BQ57" si="15">C55+E55+G55+I55+K55+M55+O55+Q55+S55+U55+W55+Y55+AA55+AC55+AE55+AG55+AI55+AK55+AM55+AO55+AQ55+AS55+AU55+AW55+AY55+BA55+BC55+BE55+BG55+BI55+BK55+BM55+BO55</f>
        <v>3929922.8889115001</v>
      </c>
    </row>
    <row r="56" spans="1:69" s="10" customFormat="1" x14ac:dyDescent="0.25">
      <c r="A56" s="25" t="s">
        <v>213</v>
      </c>
      <c r="B56" s="45"/>
      <c r="C56" s="45"/>
      <c r="D56" s="45"/>
      <c r="E56" s="45"/>
      <c r="F56" s="45"/>
      <c r="G56" s="45"/>
      <c r="H56" s="45"/>
      <c r="I56" s="45"/>
      <c r="J56" s="45">
        <v>513</v>
      </c>
      <c r="K56" s="45">
        <v>2163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>
        <v>1143</v>
      </c>
      <c r="AC56" s="45">
        <v>3505</v>
      </c>
      <c r="AD56" s="45">
        <v>16867</v>
      </c>
      <c r="AE56" s="45">
        <v>86703</v>
      </c>
      <c r="AF56" s="45">
        <v>108</v>
      </c>
      <c r="AG56" s="45">
        <v>152</v>
      </c>
      <c r="AH56" s="45"/>
      <c r="AI56" s="45"/>
      <c r="AJ56" s="45"/>
      <c r="AK56" s="45"/>
      <c r="AL56" s="45"/>
      <c r="AM56" s="45"/>
      <c r="AN56" s="45"/>
      <c r="AO56" s="45"/>
      <c r="AP56" s="45">
        <v>-172104.54091900005</v>
      </c>
      <c r="AQ56" s="45">
        <v>151778.94935379992</v>
      </c>
      <c r="AR56" s="45">
        <v>267739</v>
      </c>
      <c r="AS56" s="45">
        <v>793770</v>
      </c>
      <c r="AT56" s="45">
        <v>164657</v>
      </c>
      <c r="AU56" s="45">
        <v>411967</v>
      </c>
      <c r="AV56" s="45"/>
      <c r="AW56" s="45"/>
      <c r="AX56" s="45">
        <v>332</v>
      </c>
      <c r="AY56" s="45">
        <v>686</v>
      </c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>
        <v>671</v>
      </c>
      <c r="BK56" s="45">
        <v>482</v>
      </c>
      <c r="BL56" s="45">
        <v>20574</v>
      </c>
      <c r="BM56" s="45">
        <v>-38853</v>
      </c>
      <c r="BN56" s="45"/>
      <c r="BO56" s="45"/>
      <c r="BP56" s="21">
        <f t="shared" si="14"/>
        <v>300499.45908099995</v>
      </c>
      <c r="BQ56" s="21">
        <f t="shared" si="15"/>
        <v>1412353.9493537999</v>
      </c>
    </row>
    <row r="57" spans="1:69" s="10" customFormat="1" x14ac:dyDescent="0.25">
      <c r="A57" s="25" t="s">
        <v>266</v>
      </c>
      <c r="B57" s="45"/>
      <c r="C57" s="45"/>
      <c r="D57" s="45"/>
      <c r="E57" s="45"/>
      <c r="F57" s="45"/>
      <c r="G57" s="45"/>
      <c r="H57" s="45"/>
      <c r="I57" s="45"/>
      <c r="J57" s="45">
        <v>694</v>
      </c>
      <c r="K57" s="45">
        <v>1827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>
        <v>5</v>
      </c>
      <c r="Z57" s="45"/>
      <c r="AA57" s="45"/>
      <c r="AB57" s="45">
        <v>1011</v>
      </c>
      <c r="AC57" s="45">
        <v>4067</v>
      </c>
      <c r="AD57" s="45">
        <v>29644</v>
      </c>
      <c r="AE57" s="45">
        <v>103322</v>
      </c>
      <c r="AF57" s="45">
        <v>93</v>
      </c>
      <c r="AG57" s="45">
        <v>282</v>
      </c>
      <c r="AH57" s="45"/>
      <c r="AI57" s="45"/>
      <c r="AJ57" s="45"/>
      <c r="AK57" s="45"/>
      <c r="AL57" s="45"/>
      <c r="AM57" s="45"/>
      <c r="AN57" s="45"/>
      <c r="AO57" s="45"/>
      <c r="AP57" s="45">
        <v>-143306.99491900005</v>
      </c>
      <c r="AQ57" s="45">
        <v>110623.90735379992</v>
      </c>
      <c r="AR57" s="45">
        <v>336793</v>
      </c>
      <c r="AS57" s="45">
        <v>817277</v>
      </c>
      <c r="AT57" s="45">
        <v>94633</v>
      </c>
      <c r="AU57" s="45">
        <v>270141</v>
      </c>
      <c r="AV57" s="45"/>
      <c r="AW57" s="45"/>
      <c r="AX57" s="45">
        <v>238</v>
      </c>
      <c r="AY57" s="45">
        <v>780</v>
      </c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>
        <v>671</v>
      </c>
      <c r="BK57" s="45">
        <v>484</v>
      </c>
      <c r="BL57" s="45">
        <v>10790</v>
      </c>
      <c r="BM57" s="45">
        <v>-13738</v>
      </c>
      <c r="BN57" s="45"/>
      <c r="BO57" s="45"/>
      <c r="BP57" s="21">
        <f t="shared" si="14"/>
        <v>331260.00508099992</v>
      </c>
      <c r="BQ57" s="21">
        <f t="shared" si="15"/>
        <v>1295070.9073537998</v>
      </c>
    </row>
    <row r="58" spans="1:69" s="10" customFormat="1" x14ac:dyDescent="0.25">
      <c r="A58" s="74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1"/>
      <c r="BQ58" s="11"/>
    </row>
    <row r="59" spans="1:69" x14ac:dyDescent="0.25">
      <c r="A59" s="7" t="s">
        <v>186</v>
      </c>
    </row>
    <row r="60" spans="1:69" s="15" customFormat="1" x14ac:dyDescent="0.25">
      <c r="A60" s="23" t="s">
        <v>0</v>
      </c>
      <c r="B60" s="110" t="s">
        <v>1</v>
      </c>
      <c r="C60" s="110"/>
      <c r="D60" s="110" t="s">
        <v>2</v>
      </c>
      <c r="E60" s="110"/>
      <c r="F60" s="110" t="s">
        <v>3</v>
      </c>
      <c r="G60" s="110"/>
      <c r="H60" s="110" t="s">
        <v>4</v>
      </c>
      <c r="I60" s="110"/>
      <c r="J60" s="110" t="s">
        <v>5</v>
      </c>
      <c r="K60" s="110"/>
      <c r="L60" s="110" t="s">
        <v>6</v>
      </c>
      <c r="M60" s="110"/>
      <c r="N60" s="110" t="s">
        <v>7</v>
      </c>
      <c r="O60" s="110"/>
      <c r="P60" s="110" t="s">
        <v>8</v>
      </c>
      <c r="Q60" s="110"/>
      <c r="R60" s="110" t="s">
        <v>9</v>
      </c>
      <c r="S60" s="110"/>
      <c r="T60" s="110" t="s">
        <v>10</v>
      </c>
      <c r="U60" s="110"/>
      <c r="V60" s="110" t="s">
        <v>11</v>
      </c>
      <c r="W60" s="110"/>
      <c r="X60" s="110" t="s">
        <v>12</v>
      </c>
      <c r="Y60" s="110"/>
      <c r="Z60" s="110" t="s">
        <v>13</v>
      </c>
      <c r="AA60" s="110"/>
      <c r="AB60" s="110" t="s">
        <v>14</v>
      </c>
      <c r="AC60" s="110"/>
      <c r="AD60" s="110" t="s">
        <v>15</v>
      </c>
      <c r="AE60" s="110"/>
      <c r="AF60" s="110" t="s">
        <v>16</v>
      </c>
      <c r="AG60" s="110"/>
      <c r="AH60" s="110" t="s">
        <v>17</v>
      </c>
      <c r="AI60" s="110"/>
      <c r="AJ60" s="110" t="s">
        <v>18</v>
      </c>
      <c r="AK60" s="110"/>
      <c r="AL60" s="110" t="s">
        <v>19</v>
      </c>
      <c r="AM60" s="110"/>
      <c r="AN60" s="110" t="s">
        <v>20</v>
      </c>
      <c r="AO60" s="110"/>
      <c r="AP60" s="110" t="s">
        <v>21</v>
      </c>
      <c r="AQ60" s="110"/>
      <c r="AR60" s="110" t="s">
        <v>161</v>
      </c>
      <c r="AS60" s="110"/>
      <c r="AT60" s="110" t="s">
        <v>162</v>
      </c>
      <c r="AU60" s="110"/>
      <c r="AV60" s="110" t="s">
        <v>22</v>
      </c>
      <c r="AW60" s="110"/>
      <c r="AX60" s="110" t="s">
        <v>23</v>
      </c>
      <c r="AY60" s="110"/>
      <c r="AZ60" s="110" t="s">
        <v>24</v>
      </c>
      <c r="BA60" s="110"/>
      <c r="BB60" s="110" t="s">
        <v>25</v>
      </c>
      <c r="BC60" s="110"/>
      <c r="BD60" s="110" t="s">
        <v>26</v>
      </c>
      <c r="BE60" s="110"/>
      <c r="BF60" s="110" t="s">
        <v>27</v>
      </c>
      <c r="BG60" s="110"/>
      <c r="BH60" s="110" t="s">
        <v>28</v>
      </c>
      <c r="BI60" s="110"/>
      <c r="BJ60" s="110" t="s">
        <v>29</v>
      </c>
      <c r="BK60" s="110"/>
      <c r="BL60" s="110" t="s">
        <v>30</v>
      </c>
      <c r="BM60" s="110"/>
      <c r="BN60" s="110" t="s">
        <v>31</v>
      </c>
      <c r="BO60" s="110"/>
      <c r="BP60" s="110" t="s">
        <v>304</v>
      </c>
      <c r="BQ60" s="110"/>
    </row>
    <row r="61" spans="1:69" s="43" customFormat="1" ht="44.25" customHeight="1" x14ac:dyDescent="0.25">
      <c r="A61" s="44"/>
      <c r="B61" s="44" t="s">
        <v>286</v>
      </c>
      <c r="C61" s="44" t="s">
        <v>287</v>
      </c>
      <c r="D61" s="44" t="s">
        <v>286</v>
      </c>
      <c r="E61" s="44" t="s">
        <v>287</v>
      </c>
      <c r="F61" s="44" t="s">
        <v>286</v>
      </c>
      <c r="G61" s="44" t="s">
        <v>287</v>
      </c>
      <c r="H61" s="44" t="s">
        <v>286</v>
      </c>
      <c r="I61" s="44" t="s">
        <v>287</v>
      </c>
      <c r="J61" s="44" t="s">
        <v>286</v>
      </c>
      <c r="K61" s="44" t="s">
        <v>287</v>
      </c>
      <c r="L61" s="44" t="s">
        <v>286</v>
      </c>
      <c r="M61" s="44" t="s">
        <v>287</v>
      </c>
      <c r="N61" s="44" t="s">
        <v>286</v>
      </c>
      <c r="O61" s="44" t="s">
        <v>287</v>
      </c>
      <c r="P61" s="44" t="s">
        <v>286</v>
      </c>
      <c r="Q61" s="44" t="s">
        <v>287</v>
      </c>
      <c r="R61" s="44" t="s">
        <v>286</v>
      </c>
      <c r="S61" s="44" t="s">
        <v>287</v>
      </c>
      <c r="T61" s="44" t="s">
        <v>286</v>
      </c>
      <c r="U61" s="44" t="s">
        <v>287</v>
      </c>
      <c r="V61" s="44" t="s">
        <v>286</v>
      </c>
      <c r="W61" s="44" t="s">
        <v>287</v>
      </c>
      <c r="X61" s="44" t="s">
        <v>286</v>
      </c>
      <c r="Y61" s="44" t="s">
        <v>287</v>
      </c>
      <c r="Z61" s="44" t="s">
        <v>286</v>
      </c>
      <c r="AA61" s="44" t="s">
        <v>287</v>
      </c>
      <c r="AB61" s="44" t="s">
        <v>286</v>
      </c>
      <c r="AC61" s="44" t="s">
        <v>287</v>
      </c>
      <c r="AD61" s="44" t="s">
        <v>286</v>
      </c>
      <c r="AE61" s="44" t="s">
        <v>287</v>
      </c>
      <c r="AF61" s="44" t="s">
        <v>286</v>
      </c>
      <c r="AG61" s="44" t="s">
        <v>287</v>
      </c>
      <c r="AH61" s="44" t="s">
        <v>286</v>
      </c>
      <c r="AI61" s="44" t="s">
        <v>287</v>
      </c>
      <c r="AJ61" s="44" t="s">
        <v>286</v>
      </c>
      <c r="AK61" s="44" t="s">
        <v>287</v>
      </c>
      <c r="AL61" s="44" t="s">
        <v>286</v>
      </c>
      <c r="AM61" s="44" t="s">
        <v>287</v>
      </c>
      <c r="AN61" s="44" t="s">
        <v>286</v>
      </c>
      <c r="AO61" s="44" t="s">
        <v>287</v>
      </c>
      <c r="AP61" s="44" t="s">
        <v>286</v>
      </c>
      <c r="AQ61" s="44" t="s">
        <v>287</v>
      </c>
      <c r="AR61" s="44" t="s">
        <v>286</v>
      </c>
      <c r="AS61" s="44" t="s">
        <v>287</v>
      </c>
      <c r="AT61" s="44" t="s">
        <v>286</v>
      </c>
      <c r="AU61" s="44" t="s">
        <v>287</v>
      </c>
      <c r="AV61" s="44" t="s">
        <v>286</v>
      </c>
      <c r="AW61" s="44" t="s">
        <v>287</v>
      </c>
      <c r="AX61" s="44" t="s">
        <v>286</v>
      </c>
      <c r="AY61" s="44" t="s">
        <v>287</v>
      </c>
      <c r="AZ61" s="44" t="s">
        <v>286</v>
      </c>
      <c r="BA61" s="44" t="s">
        <v>287</v>
      </c>
      <c r="BB61" s="44" t="s">
        <v>286</v>
      </c>
      <c r="BC61" s="44" t="s">
        <v>287</v>
      </c>
      <c r="BD61" s="44" t="s">
        <v>286</v>
      </c>
      <c r="BE61" s="44" t="s">
        <v>287</v>
      </c>
      <c r="BF61" s="44" t="s">
        <v>286</v>
      </c>
      <c r="BG61" s="44" t="s">
        <v>287</v>
      </c>
      <c r="BH61" s="44" t="s">
        <v>286</v>
      </c>
      <c r="BI61" s="44" t="s">
        <v>287</v>
      </c>
      <c r="BJ61" s="44" t="s">
        <v>286</v>
      </c>
      <c r="BK61" s="44" t="s">
        <v>287</v>
      </c>
      <c r="BL61" s="44" t="s">
        <v>286</v>
      </c>
      <c r="BM61" s="44" t="s">
        <v>287</v>
      </c>
      <c r="BN61" s="44" t="s">
        <v>286</v>
      </c>
      <c r="BO61" s="44" t="s">
        <v>287</v>
      </c>
      <c r="BP61" s="44" t="s">
        <v>286</v>
      </c>
      <c r="BQ61" s="44" t="s">
        <v>287</v>
      </c>
    </row>
    <row r="62" spans="1:69" ht="30" x14ac:dyDescent="0.25">
      <c r="A62" s="25" t="s">
        <v>68</v>
      </c>
      <c r="B62" s="21"/>
      <c r="C62" s="21"/>
      <c r="D62" s="21"/>
      <c r="E62" s="21"/>
      <c r="F62" s="21">
        <v>-9941</v>
      </c>
      <c r="G62" s="21">
        <v>59363608</v>
      </c>
      <c r="H62" s="21">
        <v>65129</v>
      </c>
      <c r="I62" s="21">
        <v>210761</v>
      </c>
      <c r="J62" s="21">
        <f t="shared" ref="J62:K64" si="16">J69-J41-J34-J27-J20-J13-J6-J48-J55</f>
        <v>3251707</v>
      </c>
      <c r="K62" s="21">
        <f t="shared" si="16"/>
        <v>12201292</v>
      </c>
      <c r="L62" s="21">
        <f t="shared" ref="L62:BO62" si="17">L69-L41-L34-L27-L20-L13-L6-L48-L55</f>
        <v>1195122</v>
      </c>
      <c r="M62" s="21">
        <f t="shared" si="17"/>
        <v>4197008</v>
      </c>
      <c r="N62" s="21">
        <f t="shared" si="17"/>
        <v>1546149</v>
      </c>
      <c r="O62" s="21">
        <f t="shared" si="17"/>
        <v>3893257</v>
      </c>
      <c r="P62" s="21">
        <f t="shared" si="17"/>
        <v>1993</v>
      </c>
      <c r="Q62" s="21">
        <f t="shared" si="17"/>
        <v>4615</v>
      </c>
      <c r="R62" s="21">
        <f t="shared" si="17"/>
        <v>1000</v>
      </c>
      <c r="S62" s="21">
        <f t="shared" si="17"/>
        <v>1000</v>
      </c>
      <c r="T62" s="21">
        <f t="shared" si="17"/>
        <v>0</v>
      </c>
      <c r="U62" s="21">
        <f t="shared" si="17"/>
        <v>0</v>
      </c>
      <c r="V62" s="21">
        <f t="shared" si="17"/>
        <v>3244332</v>
      </c>
      <c r="W62" s="21">
        <f t="shared" si="17"/>
        <v>8860611</v>
      </c>
      <c r="X62" s="21">
        <f t="shared" si="17"/>
        <v>1280294</v>
      </c>
      <c r="Y62" s="21">
        <f t="shared" si="17"/>
        <v>4041875</v>
      </c>
      <c r="Z62" s="21">
        <f t="shared" si="17"/>
        <v>8176</v>
      </c>
      <c r="AA62" s="21">
        <f t="shared" si="17"/>
        <v>40153</v>
      </c>
      <c r="AB62" s="21">
        <f t="shared" si="17"/>
        <v>5858532</v>
      </c>
      <c r="AC62" s="21">
        <f t="shared" si="17"/>
        <v>20062216</v>
      </c>
      <c r="AD62" s="21">
        <f t="shared" si="17"/>
        <v>5174839</v>
      </c>
      <c r="AE62" s="21">
        <f t="shared" si="17"/>
        <v>28353416</v>
      </c>
      <c r="AF62" s="21">
        <f t="shared" si="17"/>
        <v>4727891</v>
      </c>
      <c r="AG62" s="21">
        <f t="shared" si="17"/>
        <v>16955582</v>
      </c>
      <c r="AH62" s="21">
        <f t="shared" si="17"/>
        <v>34556</v>
      </c>
      <c r="AI62" s="21">
        <f t="shared" si="17"/>
        <v>85735</v>
      </c>
      <c r="AJ62" s="21">
        <f t="shared" si="17"/>
        <v>115742</v>
      </c>
      <c r="AK62" s="21">
        <f t="shared" si="17"/>
        <v>360693</v>
      </c>
      <c r="AL62" s="21">
        <f t="shared" si="17"/>
        <v>21697</v>
      </c>
      <c r="AM62" s="21">
        <f t="shared" si="17"/>
        <v>43375</v>
      </c>
      <c r="AN62" s="21">
        <f t="shared" si="17"/>
        <v>0</v>
      </c>
      <c r="AO62" s="21">
        <f t="shared" si="17"/>
        <v>0</v>
      </c>
      <c r="AP62" s="21">
        <f t="shared" si="17"/>
        <v>1892942.1607403001</v>
      </c>
      <c r="AQ62" s="21">
        <f t="shared" si="17"/>
        <v>9277911.9967553038</v>
      </c>
      <c r="AR62" s="21">
        <f t="shared" si="17"/>
        <v>7517679</v>
      </c>
      <c r="AS62" s="21">
        <v>12578511</v>
      </c>
      <c r="AT62" s="21">
        <f t="shared" si="17"/>
        <v>5559079</v>
      </c>
      <c r="AU62" s="21">
        <f t="shared" si="17"/>
        <v>16873662</v>
      </c>
      <c r="AV62" s="21">
        <f t="shared" si="17"/>
        <v>6878</v>
      </c>
      <c r="AW62" s="21">
        <f t="shared" si="17"/>
        <v>479096</v>
      </c>
      <c r="AX62" s="21">
        <f t="shared" si="17"/>
        <v>2615424</v>
      </c>
      <c r="AY62" s="21">
        <f t="shared" si="17"/>
        <v>12083394</v>
      </c>
      <c r="AZ62" s="21">
        <f t="shared" si="17"/>
        <v>125081</v>
      </c>
      <c r="BA62" s="21">
        <f t="shared" si="17"/>
        <v>584438</v>
      </c>
      <c r="BB62" s="21">
        <f t="shared" si="17"/>
        <v>536825</v>
      </c>
      <c r="BC62" s="21">
        <f t="shared" si="17"/>
        <v>3757432</v>
      </c>
      <c r="BD62" s="21">
        <f t="shared" si="17"/>
        <v>5244994</v>
      </c>
      <c r="BE62" s="21">
        <f t="shared" si="17"/>
        <v>12333745</v>
      </c>
      <c r="BF62" s="21">
        <f t="shared" si="17"/>
        <v>42898</v>
      </c>
      <c r="BG62" s="21">
        <f t="shared" si="17"/>
        <v>127594</v>
      </c>
      <c r="BH62" s="21">
        <f t="shared" si="17"/>
        <v>12385645</v>
      </c>
      <c r="BI62" s="21">
        <f t="shared" si="17"/>
        <v>32642470</v>
      </c>
      <c r="BJ62" s="21">
        <f t="shared" si="17"/>
        <v>7131734</v>
      </c>
      <c r="BK62" s="21">
        <f t="shared" si="17"/>
        <v>8988003</v>
      </c>
      <c r="BL62" s="21">
        <f t="shared" si="17"/>
        <v>5637801</v>
      </c>
      <c r="BM62" s="21">
        <f t="shared" si="17"/>
        <v>12325775</v>
      </c>
      <c r="BN62" s="21">
        <f t="shared" si="17"/>
        <v>9293372</v>
      </c>
      <c r="BO62" s="21">
        <f t="shared" si="17"/>
        <v>12799794</v>
      </c>
      <c r="BP62" s="21">
        <f t="shared" ref="BP62:BP64" si="18">B62+D62+F62+H62+J62+L62+N62+P62+R62+T62+V62+X62+Z62+AB62+AD62+AF62+AH62+AJ62+AL62+AN62+AP62+AR62+AT62+AV62+AX62+AZ62+BB62+BD62+BF62+BH62+BJ62+BL62+BN62</f>
        <v>84507570.160740301</v>
      </c>
      <c r="BQ62" s="21">
        <f t="shared" ref="BQ62:BQ64" si="19">C62+E62+G62+I62+K62+M62+O62+Q62+S62+U62+W62+Y62+AA62+AC62+AE62+AG62+AI62+AK62+AM62+AO62+AQ62+AS62+AU62+AW62+AY62+BA62+BC62+BE62+BG62+BI62+BK62+BM62+BO62</f>
        <v>293527022.9967553</v>
      </c>
    </row>
    <row r="63" spans="1:69" s="10" customFormat="1" x14ac:dyDescent="0.25">
      <c r="A63" s="25" t="s">
        <v>213</v>
      </c>
      <c r="B63" s="45"/>
      <c r="C63" s="45"/>
      <c r="D63" s="45"/>
      <c r="E63" s="45"/>
      <c r="F63" s="45">
        <v>9057</v>
      </c>
      <c r="G63" s="45">
        <v>13410498</v>
      </c>
      <c r="H63" s="45">
        <v>54687</v>
      </c>
      <c r="I63" s="45">
        <v>185421</v>
      </c>
      <c r="J63" s="45">
        <f t="shared" si="16"/>
        <v>1097440</v>
      </c>
      <c r="K63" s="45">
        <f t="shared" si="16"/>
        <v>3701568</v>
      </c>
      <c r="L63" s="45">
        <f t="shared" ref="L63:BO63" si="20">L70-L42-L35-L28-L21-L14-L7-L49-L56</f>
        <v>212988</v>
      </c>
      <c r="M63" s="45">
        <f t="shared" si="20"/>
        <v>747836</v>
      </c>
      <c r="N63" s="45">
        <f t="shared" si="20"/>
        <v>300501</v>
      </c>
      <c r="O63" s="45">
        <f t="shared" si="20"/>
        <v>801665</v>
      </c>
      <c r="P63" s="45">
        <f t="shared" si="20"/>
        <v>1894</v>
      </c>
      <c r="Q63" s="45">
        <f t="shared" si="20"/>
        <v>4384</v>
      </c>
      <c r="R63" s="45">
        <f t="shared" si="20"/>
        <v>884</v>
      </c>
      <c r="S63" s="45">
        <f t="shared" si="20"/>
        <v>884</v>
      </c>
      <c r="T63" s="45">
        <f t="shared" si="20"/>
        <v>0</v>
      </c>
      <c r="U63" s="45">
        <f t="shared" si="20"/>
        <v>0</v>
      </c>
      <c r="V63" s="45">
        <f t="shared" si="20"/>
        <v>2351820</v>
      </c>
      <c r="W63" s="45">
        <f t="shared" si="20"/>
        <v>6049993</v>
      </c>
      <c r="X63" s="45">
        <f t="shared" si="20"/>
        <v>453421</v>
      </c>
      <c r="Y63" s="45">
        <f t="shared" si="20"/>
        <v>1377069</v>
      </c>
      <c r="Z63" s="45">
        <f t="shared" si="20"/>
        <v>193192</v>
      </c>
      <c r="AA63" s="45">
        <f t="shared" si="20"/>
        <v>258574</v>
      </c>
      <c r="AB63" s="45">
        <f t="shared" si="20"/>
        <v>1195256</v>
      </c>
      <c r="AC63" s="45">
        <f t="shared" si="20"/>
        <v>4278159</v>
      </c>
      <c r="AD63" s="45">
        <f t="shared" si="20"/>
        <v>1976716</v>
      </c>
      <c r="AE63" s="45">
        <f t="shared" si="20"/>
        <v>8897256</v>
      </c>
      <c r="AF63" s="45">
        <f t="shared" si="20"/>
        <v>905735</v>
      </c>
      <c r="AG63" s="45">
        <f t="shared" si="20"/>
        <v>3120402</v>
      </c>
      <c r="AH63" s="45">
        <f t="shared" si="20"/>
        <v>27356</v>
      </c>
      <c r="AI63" s="45">
        <f t="shared" si="20"/>
        <v>68686</v>
      </c>
      <c r="AJ63" s="45">
        <f t="shared" si="20"/>
        <v>88787</v>
      </c>
      <c r="AK63" s="45">
        <f t="shared" si="20"/>
        <v>218277</v>
      </c>
      <c r="AL63" s="45">
        <f t="shared" si="20"/>
        <v>3033</v>
      </c>
      <c r="AM63" s="45">
        <f t="shared" si="20"/>
        <v>12647</v>
      </c>
      <c r="AN63" s="45">
        <f t="shared" si="20"/>
        <v>0</v>
      </c>
      <c r="AO63" s="45">
        <f t="shared" si="20"/>
        <v>0</v>
      </c>
      <c r="AP63" s="45">
        <f t="shared" si="20"/>
        <v>1293546.4603441965</v>
      </c>
      <c r="AQ63" s="45">
        <f t="shared" si="20"/>
        <v>4811557.3069762001</v>
      </c>
      <c r="AR63" s="45">
        <f t="shared" si="20"/>
        <v>3451230</v>
      </c>
      <c r="AS63" s="45">
        <v>6884643</v>
      </c>
      <c r="AT63" s="45">
        <f t="shared" si="20"/>
        <v>1857409</v>
      </c>
      <c r="AU63" s="45">
        <f t="shared" si="20"/>
        <v>6153823</v>
      </c>
      <c r="AV63" s="45">
        <f t="shared" si="20"/>
        <v>854</v>
      </c>
      <c r="AW63" s="45">
        <f t="shared" si="20"/>
        <v>427173</v>
      </c>
      <c r="AX63" s="45">
        <f t="shared" si="20"/>
        <v>618675</v>
      </c>
      <c r="AY63" s="45">
        <f t="shared" si="20"/>
        <v>2741248</v>
      </c>
      <c r="AZ63" s="45">
        <f t="shared" si="20"/>
        <v>88410</v>
      </c>
      <c r="BA63" s="45">
        <f t="shared" si="20"/>
        <v>419737</v>
      </c>
      <c r="BB63" s="45">
        <f t="shared" si="20"/>
        <v>-168406</v>
      </c>
      <c r="BC63" s="45">
        <f t="shared" si="20"/>
        <v>595016</v>
      </c>
      <c r="BD63" s="45">
        <f t="shared" si="20"/>
        <v>1166205</v>
      </c>
      <c r="BE63" s="45">
        <f t="shared" si="20"/>
        <v>2627199</v>
      </c>
      <c r="BF63" s="45">
        <f t="shared" si="20"/>
        <v>35287</v>
      </c>
      <c r="BG63" s="45">
        <f t="shared" si="20"/>
        <v>98882</v>
      </c>
      <c r="BH63" s="45">
        <f t="shared" si="20"/>
        <v>9442725</v>
      </c>
      <c r="BI63" s="45">
        <f t="shared" si="20"/>
        <v>24930020</v>
      </c>
      <c r="BJ63" s="45">
        <f t="shared" si="20"/>
        <v>3189764</v>
      </c>
      <c r="BK63" s="45">
        <f t="shared" si="20"/>
        <v>3889035</v>
      </c>
      <c r="BL63" s="45">
        <f t="shared" si="20"/>
        <v>1933252</v>
      </c>
      <c r="BM63" s="45">
        <f t="shared" si="20"/>
        <v>5811899</v>
      </c>
      <c r="BN63" s="45">
        <f t="shared" si="20"/>
        <v>2258918</v>
      </c>
      <c r="BO63" s="45">
        <f t="shared" si="20"/>
        <v>3500286</v>
      </c>
      <c r="BP63" s="21">
        <f t="shared" si="18"/>
        <v>34040636.460344195</v>
      </c>
      <c r="BQ63" s="21">
        <f t="shared" si="19"/>
        <v>106023837.3069762</v>
      </c>
    </row>
    <row r="64" spans="1:69" s="10" customFormat="1" x14ac:dyDescent="0.25">
      <c r="A64" s="25" t="s">
        <v>266</v>
      </c>
      <c r="B64" s="45"/>
      <c r="C64" s="45"/>
      <c r="D64" s="45"/>
      <c r="E64" s="45"/>
      <c r="F64" s="46">
        <v>955713</v>
      </c>
      <c r="G64" s="46">
        <v>13917176</v>
      </c>
      <c r="H64" s="45">
        <v>57593</v>
      </c>
      <c r="I64" s="45">
        <v>182965</v>
      </c>
      <c r="J64" s="45">
        <f t="shared" si="16"/>
        <v>1156820</v>
      </c>
      <c r="K64" s="45">
        <f t="shared" si="16"/>
        <v>3752654</v>
      </c>
      <c r="L64" s="45">
        <f t="shared" ref="L64:BO64" si="21">L71-L43-L36-L29-L22-L15-L8-L50-L57</f>
        <v>489742</v>
      </c>
      <c r="M64" s="45">
        <f t="shared" si="21"/>
        <v>798076</v>
      </c>
      <c r="N64" s="45">
        <f t="shared" si="21"/>
        <v>275257</v>
      </c>
      <c r="O64" s="45">
        <f t="shared" si="21"/>
        <v>590952</v>
      </c>
      <c r="P64" s="45">
        <f t="shared" si="21"/>
        <v>947</v>
      </c>
      <c r="Q64" s="45">
        <f t="shared" si="21"/>
        <v>2192</v>
      </c>
      <c r="R64" s="45">
        <f t="shared" si="21"/>
        <v>409</v>
      </c>
      <c r="S64" s="45">
        <f t="shared" si="21"/>
        <v>409</v>
      </c>
      <c r="T64" s="45">
        <f t="shared" si="21"/>
        <v>-1858</v>
      </c>
      <c r="U64" s="45">
        <f t="shared" si="21"/>
        <v>-5574</v>
      </c>
      <c r="V64" s="45">
        <f t="shared" si="21"/>
        <v>2306374</v>
      </c>
      <c r="W64" s="45">
        <f t="shared" si="21"/>
        <v>5913373</v>
      </c>
      <c r="X64" s="45">
        <f t="shared" si="21"/>
        <v>524738</v>
      </c>
      <c r="Y64" s="45">
        <f t="shared" si="21"/>
        <v>1180384</v>
      </c>
      <c r="Z64" s="45">
        <f t="shared" si="21"/>
        <v>159920</v>
      </c>
      <c r="AA64" s="45">
        <f t="shared" si="21"/>
        <v>183628</v>
      </c>
      <c r="AB64" s="45">
        <f t="shared" si="21"/>
        <v>1874971</v>
      </c>
      <c r="AC64" s="45">
        <f t="shared" si="21"/>
        <v>4272572</v>
      </c>
      <c r="AD64" s="45">
        <f t="shared" si="21"/>
        <v>2113632</v>
      </c>
      <c r="AE64" s="45">
        <f t="shared" si="21"/>
        <v>7840597</v>
      </c>
      <c r="AF64" s="45">
        <f t="shared" si="21"/>
        <v>1615802</v>
      </c>
      <c r="AG64" s="45">
        <f t="shared" si="21"/>
        <v>3257656</v>
      </c>
      <c r="AH64" s="45">
        <f t="shared" si="21"/>
        <v>2174</v>
      </c>
      <c r="AI64" s="45">
        <f t="shared" si="21"/>
        <v>2746</v>
      </c>
      <c r="AJ64" s="45">
        <f t="shared" si="21"/>
        <v>73518</v>
      </c>
      <c r="AK64" s="45">
        <f t="shared" si="21"/>
        <v>177463</v>
      </c>
      <c r="AL64" s="45">
        <f t="shared" si="21"/>
        <v>5239</v>
      </c>
      <c r="AM64" s="45">
        <f t="shared" si="21"/>
        <v>16373</v>
      </c>
      <c r="AN64" s="45">
        <f t="shared" si="21"/>
        <v>0</v>
      </c>
      <c r="AO64" s="45">
        <f t="shared" si="21"/>
        <v>0</v>
      </c>
      <c r="AP64" s="45">
        <f t="shared" si="21"/>
        <v>-301262.05765580351</v>
      </c>
      <c r="AQ64" s="45">
        <f t="shared" si="21"/>
        <v>3875568.0214761947</v>
      </c>
      <c r="AR64" s="45">
        <f t="shared" si="21"/>
        <v>3651510</v>
      </c>
      <c r="AS64" s="45">
        <v>6024570</v>
      </c>
      <c r="AT64" s="45">
        <f t="shared" si="21"/>
        <v>1803515</v>
      </c>
      <c r="AU64" s="45">
        <f t="shared" si="21"/>
        <v>5843354</v>
      </c>
      <c r="AV64" s="45">
        <f t="shared" si="21"/>
        <v>1004</v>
      </c>
      <c r="AW64" s="45">
        <f t="shared" si="21"/>
        <v>418035</v>
      </c>
      <c r="AX64" s="45">
        <f t="shared" si="21"/>
        <v>1559431</v>
      </c>
      <c r="AY64" s="45">
        <f t="shared" si="21"/>
        <v>2706462</v>
      </c>
      <c r="AZ64" s="45">
        <f t="shared" si="21"/>
        <v>92310</v>
      </c>
      <c r="BA64" s="45">
        <f t="shared" si="21"/>
        <v>409890</v>
      </c>
      <c r="BB64" s="45">
        <f t="shared" si="21"/>
        <v>358430</v>
      </c>
      <c r="BC64" s="45">
        <f t="shared" si="21"/>
        <v>588573</v>
      </c>
      <c r="BD64" s="45">
        <f t="shared" si="21"/>
        <v>1133852</v>
      </c>
      <c r="BE64" s="45">
        <f t="shared" si="21"/>
        <v>2295366</v>
      </c>
      <c r="BF64" s="45">
        <f t="shared" si="21"/>
        <v>28068</v>
      </c>
      <c r="BG64" s="45">
        <f t="shared" si="21"/>
        <v>81324</v>
      </c>
      <c r="BH64" s="45">
        <f t="shared" si="21"/>
        <v>8331707</v>
      </c>
      <c r="BI64" s="45">
        <f t="shared" si="21"/>
        <v>22130036</v>
      </c>
      <c r="BJ64" s="45">
        <f t="shared" si="21"/>
        <v>3233067</v>
      </c>
      <c r="BK64" s="45">
        <f t="shared" si="21"/>
        <v>3802347</v>
      </c>
      <c r="BL64" s="45">
        <f t="shared" si="21"/>
        <v>2035281</v>
      </c>
      <c r="BM64" s="45">
        <f t="shared" si="21"/>
        <v>5799881</v>
      </c>
      <c r="BN64" s="45">
        <f t="shared" si="21"/>
        <v>2567754</v>
      </c>
      <c r="BO64" s="45">
        <f t="shared" si="21"/>
        <v>3604340</v>
      </c>
      <c r="BP64" s="21">
        <f t="shared" si="18"/>
        <v>36105657.942344196</v>
      </c>
      <c r="BQ64" s="21">
        <f t="shared" si="19"/>
        <v>99663388.021476194</v>
      </c>
    </row>
    <row r="66" spans="1:69" s="8" customFormat="1" x14ac:dyDescent="0.25">
      <c r="A66" s="7" t="s">
        <v>61</v>
      </c>
    </row>
    <row r="67" spans="1:69" s="15" customFormat="1" x14ac:dyDescent="0.25">
      <c r="A67" s="23" t="s">
        <v>0</v>
      </c>
      <c r="B67" s="110" t="s">
        <v>1</v>
      </c>
      <c r="C67" s="110"/>
      <c r="D67" s="110" t="s">
        <v>2</v>
      </c>
      <c r="E67" s="110"/>
      <c r="F67" s="110" t="s">
        <v>3</v>
      </c>
      <c r="G67" s="110"/>
      <c r="H67" s="110" t="s">
        <v>4</v>
      </c>
      <c r="I67" s="110"/>
      <c r="J67" s="110" t="s">
        <v>5</v>
      </c>
      <c r="K67" s="110"/>
      <c r="L67" s="110" t="s">
        <v>6</v>
      </c>
      <c r="M67" s="110"/>
      <c r="N67" s="110" t="s">
        <v>7</v>
      </c>
      <c r="O67" s="110"/>
      <c r="P67" s="110" t="s">
        <v>8</v>
      </c>
      <c r="Q67" s="110"/>
      <c r="R67" s="110" t="s">
        <v>9</v>
      </c>
      <c r="S67" s="110"/>
      <c r="T67" s="110" t="s">
        <v>10</v>
      </c>
      <c r="U67" s="110"/>
      <c r="V67" s="110" t="s">
        <v>11</v>
      </c>
      <c r="W67" s="110"/>
      <c r="X67" s="110" t="s">
        <v>12</v>
      </c>
      <c r="Y67" s="110"/>
      <c r="Z67" s="110" t="s">
        <v>13</v>
      </c>
      <c r="AA67" s="110"/>
      <c r="AB67" s="110" t="s">
        <v>14</v>
      </c>
      <c r="AC67" s="110"/>
      <c r="AD67" s="110" t="s">
        <v>15</v>
      </c>
      <c r="AE67" s="110"/>
      <c r="AF67" s="110" t="s">
        <v>16</v>
      </c>
      <c r="AG67" s="110"/>
      <c r="AH67" s="110" t="s">
        <v>17</v>
      </c>
      <c r="AI67" s="110"/>
      <c r="AJ67" s="110" t="s">
        <v>18</v>
      </c>
      <c r="AK67" s="110"/>
      <c r="AL67" s="110" t="s">
        <v>19</v>
      </c>
      <c r="AM67" s="110"/>
      <c r="AN67" s="110" t="s">
        <v>20</v>
      </c>
      <c r="AO67" s="110"/>
      <c r="AP67" s="110" t="s">
        <v>21</v>
      </c>
      <c r="AQ67" s="110"/>
      <c r="AR67" s="110" t="s">
        <v>161</v>
      </c>
      <c r="AS67" s="110"/>
      <c r="AT67" s="110" t="s">
        <v>162</v>
      </c>
      <c r="AU67" s="110"/>
      <c r="AV67" s="110" t="s">
        <v>22</v>
      </c>
      <c r="AW67" s="110"/>
      <c r="AX67" s="110" t="s">
        <v>23</v>
      </c>
      <c r="AY67" s="110"/>
      <c r="AZ67" s="110" t="s">
        <v>24</v>
      </c>
      <c r="BA67" s="110"/>
      <c r="BB67" s="110" t="s">
        <v>25</v>
      </c>
      <c r="BC67" s="110"/>
      <c r="BD67" s="110" t="s">
        <v>26</v>
      </c>
      <c r="BE67" s="110"/>
      <c r="BF67" s="110" t="s">
        <v>27</v>
      </c>
      <c r="BG67" s="110"/>
      <c r="BH67" s="110" t="s">
        <v>28</v>
      </c>
      <c r="BI67" s="110"/>
      <c r="BJ67" s="110" t="s">
        <v>29</v>
      </c>
      <c r="BK67" s="110"/>
      <c r="BL67" s="110" t="s">
        <v>30</v>
      </c>
      <c r="BM67" s="110"/>
      <c r="BN67" s="110" t="s">
        <v>31</v>
      </c>
      <c r="BO67" s="110"/>
      <c r="BP67" s="110" t="s">
        <v>304</v>
      </c>
      <c r="BQ67" s="110"/>
    </row>
    <row r="68" spans="1:69" s="43" customFormat="1" ht="44.25" customHeight="1" x14ac:dyDescent="0.25">
      <c r="A68" s="44"/>
      <c r="B68" s="44" t="s">
        <v>286</v>
      </c>
      <c r="C68" s="44" t="s">
        <v>287</v>
      </c>
      <c r="D68" s="44" t="s">
        <v>286</v>
      </c>
      <c r="E68" s="44" t="s">
        <v>287</v>
      </c>
      <c r="F68" s="44" t="s">
        <v>286</v>
      </c>
      <c r="G68" s="44" t="s">
        <v>287</v>
      </c>
      <c r="H68" s="44" t="s">
        <v>286</v>
      </c>
      <c r="I68" s="44" t="s">
        <v>287</v>
      </c>
      <c r="J68" s="44" t="s">
        <v>286</v>
      </c>
      <c r="K68" s="44" t="s">
        <v>287</v>
      </c>
      <c r="L68" s="44" t="s">
        <v>286</v>
      </c>
      <c r="M68" s="44" t="s">
        <v>287</v>
      </c>
      <c r="N68" s="44" t="s">
        <v>286</v>
      </c>
      <c r="O68" s="44" t="s">
        <v>287</v>
      </c>
      <c r="P68" s="44" t="s">
        <v>286</v>
      </c>
      <c r="Q68" s="44" t="s">
        <v>287</v>
      </c>
      <c r="R68" s="44" t="s">
        <v>286</v>
      </c>
      <c r="S68" s="44" t="s">
        <v>287</v>
      </c>
      <c r="T68" s="44" t="s">
        <v>286</v>
      </c>
      <c r="U68" s="44" t="s">
        <v>287</v>
      </c>
      <c r="V68" s="44" t="s">
        <v>286</v>
      </c>
      <c r="W68" s="44" t="s">
        <v>287</v>
      </c>
      <c r="X68" s="44" t="s">
        <v>286</v>
      </c>
      <c r="Y68" s="44" t="s">
        <v>287</v>
      </c>
      <c r="Z68" s="44" t="s">
        <v>286</v>
      </c>
      <c r="AA68" s="44" t="s">
        <v>287</v>
      </c>
      <c r="AB68" s="44" t="s">
        <v>286</v>
      </c>
      <c r="AC68" s="44" t="s">
        <v>287</v>
      </c>
      <c r="AD68" s="44" t="s">
        <v>286</v>
      </c>
      <c r="AE68" s="44" t="s">
        <v>287</v>
      </c>
      <c r="AF68" s="44" t="s">
        <v>286</v>
      </c>
      <c r="AG68" s="44" t="s">
        <v>287</v>
      </c>
      <c r="AH68" s="44" t="s">
        <v>286</v>
      </c>
      <c r="AI68" s="44" t="s">
        <v>287</v>
      </c>
      <c r="AJ68" s="44" t="s">
        <v>286</v>
      </c>
      <c r="AK68" s="44" t="s">
        <v>287</v>
      </c>
      <c r="AL68" s="44" t="s">
        <v>286</v>
      </c>
      <c r="AM68" s="44" t="s">
        <v>287</v>
      </c>
      <c r="AN68" s="44" t="s">
        <v>286</v>
      </c>
      <c r="AO68" s="44" t="s">
        <v>287</v>
      </c>
      <c r="AP68" s="44" t="s">
        <v>286</v>
      </c>
      <c r="AQ68" s="44" t="s">
        <v>287</v>
      </c>
      <c r="AR68" s="44" t="s">
        <v>286</v>
      </c>
      <c r="AS68" s="44" t="s">
        <v>287</v>
      </c>
      <c r="AT68" s="44" t="s">
        <v>286</v>
      </c>
      <c r="AU68" s="44" t="s">
        <v>287</v>
      </c>
      <c r="AV68" s="44" t="s">
        <v>286</v>
      </c>
      <c r="AW68" s="44" t="s">
        <v>287</v>
      </c>
      <c r="AX68" s="44" t="s">
        <v>286</v>
      </c>
      <c r="AY68" s="44" t="s">
        <v>287</v>
      </c>
      <c r="AZ68" s="44" t="s">
        <v>286</v>
      </c>
      <c r="BA68" s="44" t="s">
        <v>287</v>
      </c>
      <c r="BB68" s="44" t="s">
        <v>286</v>
      </c>
      <c r="BC68" s="44" t="s">
        <v>287</v>
      </c>
      <c r="BD68" s="44" t="s">
        <v>286</v>
      </c>
      <c r="BE68" s="44" t="s">
        <v>287</v>
      </c>
      <c r="BF68" s="44" t="s">
        <v>286</v>
      </c>
      <c r="BG68" s="44" t="s">
        <v>287</v>
      </c>
      <c r="BH68" s="44" t="s">
        <v>286</v>
      </c>
      <c r="BI68" s="44" t="s">
        <v>287</v>
      </c>
      <c r="BJ68" s="44" t="s">
        <v>286</v>
      </c>
      <c r="BK68" s="44" t="s">
        <v>287</v>
      </c>
      <c r="BL68" s="44" t="s">
        <v>286</v>
      </c>
      <c r="BM68" s="44" t="s">
        <v>287</v>
      </c>
      <c r="BN68" s="44" t="s">
        <v>286</v>
      </c>
      <c r="BO68" s="44" t="s">
        <v>287</v>
      </c>
      <c r="BP68" s="44" t="s">
        <v>286</v>
      </c>
      <c r="BQ68" s="44" t="s">
        <v>287</v>
      </c>
    </row>
    <row r="69" spans="1:69" ht="30" x14ac:dyDescent="0.25">
      <c r="A69" s="25" t="s">
        <v>68</v>
      </c>
      <c r="B69" s="21">
        <v>659716</v>
      </c>
      <c r="C69" s="21">
        <v>888896</v>
      </c>
      <c r="D69" s="21">
        <v>1386336</v>
      </c>
      <c r="E69" s="21">
        <v>3155374</v>
      </c>
      <c r="F69" s="21">
        <v>-9941</v>
      </c>
      <c r="G69" s="21">
        <v>59363608</v>
      </c>
      <c r="H69" s="21">
        <v>4927049</v>
      </c>
      <c r="I69" s="21">
        <v>12879132</v>
      </c>
      <c r="J69" s="21">
        <v>25394925</v>
      </c>
      <c r="K69" s="21">
        <v>76653881</v>
      </c>
      <c r="L69" s="21">
        <v>5722774</v>
      </c>
      <c r="M69" s="21">
        <v>16406524</v>
      </c>
      <c r="N69" s="21">
        <v>11182503</v>
      </c>
      <c r="O69" s="21">
        <v>31686274</v>
      </c>
      <c r="P69" s="21">
        <v>1101393</v>
      </c>
      <c r="Q69" s="21">
        <v>3557620</v>
      </c>
      <c r="R69" s="21">
        <v>83763</v>
      </c>
      <c r="S69" s="21">
        <v>2094423</v>
      </c>
      <c r="T69" s="21">
        <v>262885</v>
      </c>
      <c r="U69" s="21">
        <v>565352</v>
      </c>
      <c r="V69" s="52">
        <v>3244332</v>
      </c>
      <c r="W69" s="21">
        <v>8860611</v>
      </c>
      <c r="X69" s="21">
        <v>5911146</v>
      </c>
      <c r="Y69" s="21">
        <v>17454406</v>
      </c>
      <c r="Z69" s="21">
        <v>2557532</v>
      </c>
      <c r="AA69" s="21">
        <v>5293421</v>
      </c>
      <c r="AB69" s="21">
        <v>23361571</v>
      </c>
      <c r="AC69" s="21">
        <v>65400681</v>
      </c>
      <c r="AD69" s="21">
        <v>36987588</v>
      </c>
      <c r="AE69" s="21">
        <v>110033052</v>
      </c>
      <c r="AF69" s="21">
        <v>16801936</v>
      </c>
      <c r="AG69" s="21">
        <v>51582301</v>
      </c>
      <c r="AH69" s="21">
        <v>852506</v>
      </c>
      <c r="AI69" s="21">
        <v>2075716</v>
      </c>
      <c r="AJ69" s="21">
        <v>2867606</v>
      </c>
      <c r="AK69" s="21">
        <v>8082546</v>
      </c>
      <c r="AL69" s="21">
        <v>2533824</v>
      </c>
      <c r="AM69" s="21">
        <v>6242174</v>
      </c>
      <c r="AN69" s="21">
        <v>2225504</v>
      </c>
      <c r="AO69" s="21">
        <v>6267200</v>
      </c>
      <c r="AP69" s="21">
        <v>34990650.924699903</v>
      </c>
      <c r="AQ69" s="21">
        <v>106812021.97292711</v>
      </c>
      <c r="AR69" s="21">
        <v>65175624</v>
      </c>
      <c r="AS69" s="21">
        <v>193182724</v>
      </c>
      <c r="AT69" s="21">
        <v>31683190</v>
      </c>
      <c r="AU69" s="21">
        <v>97790098</v>
      </c>
      <c r="AV69" s="21">
        <v>244615</v>
      </c>
      <c r="AW69" s="21">
        <v>744437</v>
      </c>
      <c r="AX69" s="21">
        <v>13053860</v>
      </c>
      <c r="AY69" s="21">
        <v>48743680</v>
      </c>
      <c r="AZ69" s="21">
        <v>5591521</v>
      </c>
      <c r="BA69" s="21">
        <v>13282195</v>
      </c>
      <c r="BB69" s="21">
        <v>7041094</v>
      </c>
      <c r="BC69" s="21">
        <v>24364209</v>
      </c>
      <c r="BD69" s="21">
        <v>12654948</v>
      </c>
      <c r="BE69" s="21">
        <v>33298758</v>
      </c>
      <c r="BF69" s="21">
        <v>5765454</v>
      </c>
      <c r="BG69" s="21">
        <v>16634713</v>
      </c>
      <c r="BH69" s="21">
        <v>12385645</v>
      </c>
      <c r="BI69" s="21">
        <v>32642470</v>
      </c>
      <c r="BJ69" s="21">
        <v>24038288</v>
      </c>
      <c r="BK69" s="21">
        <v>56735442</v>
      </c>
      <c r="BL69" s="21">
        <v>41614044</v>
      </c>
      <c r="BM69" s="21">
        <v>113805556</v>
      </c>
      <c r="BN69" s="21">
        <v>12067542</v>
      </c>
      <c r="BO69" s="21">
        <v>20142964</v>
      </c>
      <c r="BP69" s="21">
        <f t="shared" ref="BP69:BP71" si="22">B69+D69+F69+H69+J69+L69+N69+P69+R69+T69+V69+X69+Z69+AB69+AD69+AF69+AH69+AJ69+AL69+AN69+AP69+AR69+AT69+AV69+AX69+AZ69+BB69+BD69+BF69+BH69+BJ69+BL69+BN69</f>
        <v>414361423.9246999</v>
      </c>
      <c r="BQ69" s="21">
        <f t="shared" ref="BQ69:BQ71" si="23">C69+E69+G69+I69+K69+M69+O69+Q69+S69+U69+W69+Y69+AA69+AC69+AE69+AG69+AI69+AK69+AM69+AO69+AQ69+AS69+AU69+AW69+AY69+BA69+BC69+BE69+BG69+BI69+BK69+BM69+BO69</f>
        <v>1246722459.9729271</v>
      </c>
    </row>
    <row r="70" spans="1:69" s="10" customFormat="1" x14ac:dyDescent="0.25">
      <c r="A70" s="25" t="s">
        <v>213</v>
      </c>
      <c r="B70" s="45">
        <v>381709</v>
      </c>
      <c r="C70" s="45">
        <v>558182</v>
      </c>
      <c r="D70" s="45">
        <v>1307684</v>
      </c>
      <c r="E70" s="45">
        <v>2975963</v>
      </c>
      <c r="F70" s="45">
        <v>9057</v>
      </c>
      <c r="G70" s="45">
        <v>13410498</v>
      </c>
      <c r="H70" s="45">
        <v>3836456</v>
      </c>
      <c r="I70" s="45">
        <v>10028695</v>
      </c>
      <c r="J70" s="45">
        <v>19916678</v>
      </c>
      <c r="K70" s="45">
        <v>56075447</v>
      </c>
      <c r="L70" s="45">
        <v>4014558</v>
      </c>
      <c r="M70" s="45">
        <v>11020444</v>
      </c>
      <c r="N70" s="45">
        <v>7555112</v>
      </c>
      <c r="O70" s="45">
        <v>23373319</v>
      </c>
      <c r="P70" s="45">
        <v>1045152</v>
      </c>
      <c r="Q70" s="45">
        <v>3364767</v>
      </c>
      <c r="R70" s="45">
        <v>68292</v>
      </c>
      <c r="S70" s="45">
        <v>1412726</v>
      </c>
      <c r="T70" s="45"/>
      <c r="U70" s="45"/>
      <c r="V70" s="21">
        <v>2351820</v>
      </c>
      <c r="W70" s="21">
        <v>6049993</v>
      </c>
      <c r="X70" s="45">
        <v>3919502</v>
      </c>
      <c r="Y70" s="45">
        <v>11956351</v>
      </c>
      <c r="Z70" s="45">
        <v>2516283</v>
      </c>
      <c r="AA70" s="45">
        <v>5137246</v>
      </c>
      <c r="AB70" s="45">
        <v>12563359</v>
      </c>
      <c r="AC70" s="45">
        <v>32070756</v>
      </c>
      <c r="AD70" s="45">
        <v>25969094</v>
      </c>
      <c r="AE70" s="45">
        <v>70775436</v>
      </c>
      <c r="AF70" s="45">
        <v>10674386</v>
      </c>
      <c r="AG70" s="45">
        <v>30252767</v>
      </c>
      <c r="AH70" s="45">
        <v>755510</v>
      </c>
      <c r="AI70" s="45">
        <v>1859112</v>
      </c>
      <c r="AJ70" s="45">
        <v>2614304</v>
      </c>
      <c r="AK70" s="45">
        <v>7009676</v>
      </c>
      <c r="AL70" s="45">
        <v>1538340</v>
      </c>
      <c r="AM70" s="45">
        <v>2927580</v>
      </c>
      <c r="AN70" s="45">
        <v>1683532</v>
      </c>
      <c r="AO70" s="45">
        <v>4746464</v>
      </c>
      <c r="AP70" s="45">
        <v>20622704.797872398</v>
      </c>
      <c r="AQ70" s="45">
        <v>69627543.7788212</v>
      </c>
      <c r="AR70" s="45">
        <v>53229620</v>
      </c>
      <c r="AS70" s="45">
        <v>160947443</v>
      </c>
      <c r="AT70" s="45">
        <v>24849471</v>
      </c>
      <c r="AU70" s="45">
        <v>77843071</v>
      </c>
      <c r="AV70" s="45">
        <v>223182</v>
      </c>
      <c r="AW70" s="45">
        <v>677545</v>
      </c>
      <c r="AX70" s="45">
        <v>8080693</v>
      </c>
      <c r="AY70" s="45">
        <v>29044587</v>
      </c>
      <c r="AZ70" s="45">
        <v>3400468</v>
      </c>
      <c r="BA70" s="45">
        <v>9235829</v>
      </c>
      <c r="BB70" s="45">
        <v>4927073</v>
      </c>
      <c r="BC70" s="45">
        <v>16470610</v>
      </c>
      <c r="BD70" s="45">
        <v>6616320</v>
      </c>
      <c r="BE70" s="45">
        <v>17957466</v>
      </c>
      <c r="BF70" s="45">
        <v>5298427</v>
      </c>
      <c r="BG70" s="45">
        <v>15362353</v>
      </c>
      <c r="BH70" s="45">
        <v>9442725</v>
      </c>
      <c r="BI70" s="45">
        <v>24930020</v>
      </c>
      <c r="BJ70" s="45">
        <v>14980473</v>
      </c>
      <c r="BK70" s="45">
        <v>36543989</v>
      </c>
      <c r="BL70" s="45">
        <v>33920241</v>
      </c>
      <c r="BM70" s="45">
        <v>95200794</v>
      </c>
      <c r="BN70" s="45">
        <v>4683802</v>
      </c>
      <c r="BO70" s="45">
        <v>9486333</v>
      </c>
      <c r="BP70" s="21">
        <f t="shared" si="22"/>
        <v>292996027.79787242</v>
      </c>
      <c r="BQ70" s="21">
        <f t="shared" si="23"/>
        <v>858333005.77882123</v>
      </c>
    </row>
    <row r="71" spans="1:69" s="10" customFormat="1" x14ac:dyDescent="0.25">
      <c r="A71" s="25" t="s">
        <v>266</v>
      </c>
      <c r="B71" s="45">
        <v>124286</v>
      </c>
      <c r="C71" s="45">
        <v>230447</v>
      </c>
      <c r="D71" s="45">
        <v>1010683</v>
      </c>
      <c r="E71" s="45">
        <v>2298616</v>
      </c>
      <c r="F71" s="46">
        <v>955713</v>
      </c>
      <c r="G71" s="46">
        <v>13917176</v>
      </c>
      <c r="H71" s="45">
        <v>4159454</v>
      </c>
      <c r="I71" s="45">
        <v>9687998</v>
      </c>
      <c r="J71" s="45">
        <v>18008973</v>
      </c>
      <c r="K71" s="45">
        <v>50924081</v>
      </c>
      <c r="L71" s="45">
        <v>3773107</v>
      </c>
      <c r="M71" s="45">
        <v>10314838</v>
      </c>
      <c r="N71" s="45">
        <v>7694717</v>
      </c>
      <c r="O71" s="45">
        <v>22599094</v>
      </c>
      <c r="P71" s="45">
        <v>983933</v>
      </c>
      <c r="Q71" s="45">
        <v>2778345</v>
      </c>
      <c r="R71" s="45">
        <v>167160</v>
      </c>
      <c r="S71" s="45">
        <v>827271</v>
      </c>
      <c r="T71" s="45">
        <v>83232</v>
      </c>
      <c r="U71" s="45">
        <v>118643</v>
      </c>
      <c r="V71" s="21">
        <v>2306374</v>
      </c>
      <c r="W71" s="21">
        <v>5913373</v>
      </c>
      <c r="X71" s="45">
        <v>3934219</v>
      </c>
      <c r="Y71" s="45">
        <v>11430905</v>
      </c>
      <c r="Z71" s="45">
        <v>1286793</v>
      </c>
      <c r="AA71" s="45">
        <v>2267023</v>
      </c>
      <c r="AB71" s="45">
        <v>11102824</v>
      </c>
      <c r="AC71" s="45">
        <v>28368204</v>
      </c>
      <c r="AD71" s="45">
        <v>21109695</v>
      </c>
      <c r="AE71" s="45">
        <v>61778782</v>
      </c>
      <c r="AF71" s="45">
        <v>11066366</v>
      </c>
      <c r="AG71" s="45">
        <v>30390879</v>
      </c>
      <c r="AH71" s="45">
        <v>525605</v>
      </c>
      <c r="AI71" s="45">
        <v>1390325</v>
      </c>
      <c r="AJ71" s="45">
        <v>2106601</v>
      </c>
      <c r="AK71" s="45">
        <v>5712296</v>
      </c>
      <c r="AL71" s="45">
        <v>1336282</v>
      </c>
      <c r="AM71" s="45">
        <v>1967290</v>
      </c>
      <c r="AN71" s="45">
        <v>1522569</v>
      </c>
      <c r="AO71" s="45">
        <v>4304888</v>
      </c>
      <c r="AP71" s="45">
        <v>21511005.169962399</v>
      </c>
      <c r="AQ71" s="45">
        <v>74600281.221411198</v>
      </c>
      <c r="AR71" s="45">
        <v>55030681</v>
      </c>
      <c r="AS71" s="45">
        <v>158757210</v>
      </c>
      <c r="AT71" s="45">
        <v>24218729</v>
      </c>
      <c r="AU71" s="45">
        <v>74798756</v>
      </c>
      <c r="AV71" s="45">
        <v>229989</v>
      </c>
      <c r="AW71" s="45">
        <v>645413</v>
      </c>
      <c r="AX71" s="45">
        <v>9697109</v>
      </c>
      <c r="AY71" s="45">
        <v>25601120</v>
      </c>
      <c r="AZ71" s="45">
        <v>3036622</v>
      </c>
      <c r="BA71" s="45">
        <v>7720062</v>
      </c>
      <c r="BB71" s="45">
        <v>5728818</v>
      </c>
      <c r="BC71" s="45">
        <v>16329259</v>
      </c>
      <c r="BD71" s="45">
        <v>6470875</v>
      </c>
      <c r="BE71" s="45">
        <v>17951449</v>
      </c>
      <c r="BF71" s="45">
        <v>5280109</v>
      </c>
      <c r="BG71" s="45">
        <v>15320836</v>
      </c>
      <c r="BH71" s="45">
        <v>8331707</v>
      </c>
      <c r="BI71" s="45">
        <v>22130036</v>
      </c>
      <c r="BJ71" s="45">
        <v>13677077</v>
      </c>
      <c r="BK71" s="45">
        <v>33204974</v>
      </c>
      <c r="BL71" s="45">
        <v>28718944</v>
      </c>
      <c r="BM71" s="45">
        <v>90062386</v>
      </c>
      <c r="BN71" s="45">
        <v>4513626</v>
      </c>
      <c r="BO71" s="45">
        <v>9451913</v>
      </c>
      <c r="BP71" s="21">
        <f t="shared" si="22"/>
        <v>279703877.16996241</v>
      </c>
      <c r="BQ71" s="21">
        <f t="shared" si="23"/>
        <v>813794169.22141123</v>
      </c>
    </row>
    <row r="72" spans="1:69" x14ac:dyDescent="0.25">
      <c r="A72" s="4"/>
    </row>
  </sheetData>
  <mergeCells count="340">
    <mergeCell ref="BJ67:BK67"/>
    <mergeCell ref="BL67:BM67"/>
    <mergeCell ref="BN67:BO67"/>
    <mergeCell ref="AX67:AY67"/>
    <mergeCell ref="AZ67:BA67"/>
    <mergeCell ref="BB67:BC67"/>
    <mergeCell ref="BD67:BE67"/>
    <mergeCell ref="BF67:BG67"/>
    <mergeCell ref="BH67:BI67"/>
    <mergeCell ref="AL67:AM67"/>
    <mergeCell ref="AN67:AO67"/>
    <mergeCell ref="AP67:AQ67"/>
    <mergeCell ref="AR67:AS67"/>
    <mergeCell ref="AT67:AU67"/>
    <mergeCell ref="AV67:AW67"/>
    <mergeCell ref="Z67:AA67"/>
    <mergeCell ref="AB67:AC67"/>
    <mergeCell ref="AD67:AE67"/>
    <mergeCell ref="AF67:AG67"/>
    <mergeCell ref="AH67:AI67"/>
    <mergeCell ref="AJ67:AK67"/>
    <mergeCell ref="N67:O67"/>
    <mergeCell ref="P67:Q67"/>
    <mergeCell ref="R67:S67"/>
    <mergeCell ref="T67:U67"/>
    <mergeCell ref="V67:W67"/>
    <mergeCell ref="X67:Y67"/>
    <mergeCell ref="B67:C67"/>
    <mergeCell ref="D67:E67"/>
    <mergeCell ref="F67:G67"/>
    <mergeCell ref="H67:I67"/>
    <mergeCell ref="J67:K67"/>
    <mergeCell ref="L67:M67"/>
    <mergeCell ref="BD60:BE60"/>
    <mergeCell ref="BF60:BG60"/>
    <mergeCell ref="BH60:BI60"/>
    <mergeCell ref="BJ60:BK60"/>
    <mergeCell ref="BL60:BM60"/>
    <mergeCell ref="BN60:BO60"/>
    <mergeCell ref="AR60:AS60"/>
    <mergeCell ref="AT60:AU60"/>
    <mergeCell ref="AV60:AW60"/>
    <mergeCell ref="AX60:AY60"/>
    <mergeCell ref="AZ60:BA60"/>
    <mergeCell ref="BB60:BC60"/>
    <mergeCell ref="AF60:AG60"/>
    <mergeCell ref="AH60:AI60"/>
    <mergeCell ref="AJ60:AK60"/>
    <mergeCell ref="AL60:AM60"/>
    <mergeCell ref="AN60:AO60"/>
    <mergeCell ref="AP60:AQ60"/>
    <mergeCell ref="T60:U60"/>
    <mergeCell ref="V60:W60"/>
    <mergeCell ref="X60:Y60"/>
    <mergeCell ref="Z60:AA60"/>
    <mergeCell ref="AB60:AC60"/>
    <mergeCell ref="AD60:AE60"/>
    <mergeCell ref="BN46:BO46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B46:BC46"/>
    <mergeCell ref="BD46:BE46"/>
    <mergeCell ref="BF46:BG46"/>
    <mergeCell ref="BH46:BI46"/>
    <mergeCell ref="BJ46:BK46"/>
    <mergeCell ref="BL46:BM46"/>
    <mergeCell ref="AP46:AQ46"/>
    <mergeCell ref="AR46:AS46"/>
    <mergeCell ref="AT46:AU46"/>
    <mergeCell ref="AV46:AW46"/>
    <mergeCell ref="AX46:AY46"/>
    <mergeCell ref="AZ46:BA46"/>
    <mergeCell ref="AD46:AE46"/>
    <mergeCell ref="AF46:AG46"/>
    <mergeCell ref="AJ46:AK46"/>
    <mergeCell ref="AL46:AM46"/>
    <mergeCell ref="AN46:AO46"/>
    <mergeCell ref="R46:S46"/>
    <mergeCell ref="T46:U46"/>
    <mergeCell ref="V46:W46"/>
    <mergeCell ref="X46:Y46"/>
    <mergeCell ref="Z46:AA46"/>
    <mergeCell ref="AB46:AC46"/>
    <mergeCell ref="BN39:BO39"/>
    <mergeCell ref="B46:C46"/>
    <mergeCell ref="D46:E46"/>
    <mergeCell ref="F46:G46"/>
    <mergeCell ref="H46:I46"/>
    <mergeCell ref="J46:K46"/>
    <mergeCell ref="L46:M46"/>
    <mergeCell ref="N46:O46"/>
    <mergeCell ref="P46:Q46"/>
    <mergeCell ref="AZ39:BA39"/>
    <mergeCell ref="BB39:BC39"/>
    <mergeCell ref="BD39:BE39"/>
    <mergeCell ref="BF39:BG39"/>
    <mergeCell ref="BH39:BI39"/>
    <mergeCell ref="BJ39:BK39"/>
    <mergeCell ref="AN39:AO39"/>
    <mergeCell ref="AP39:AQ39"/>
    <mergeCell ref="AR39:AS39"/>
    <mergeCell ref="AT39:AU39"/>
    <mergeCell ref="AV39:AW39"/>
    <mergeCell ref="AX39:AY39"/>
    <mergeCell ref="AB39:AC39"/>
    <mergeCell ref="AD39:AE39"/>
    <mergeCell ref="AH46:AI46"/>
    <mergeCell ref="AJ39:AK39"/>
    <mergeCell ref="AL39:AM39"/>
    <mergeCell ref="P39:Q39"/>
    <mergeCell ref="R39:S39"/>
    <mergeCell ref="T39:U39"/>
    <mergeCell ref="V39:W39"/>
    <mergeCell ref="X39:Y39"/>
    <mergeCell ref="Z39:AA39"/>
    <mergeCell ref="BL39:BM39"/>
    <mergeCell ref="BN32:BO32"/>
    <mergeCell ref="B39:C39"/>
    <mergeCell ref="D39:E39"/>
    <mergeCell ref="F39:G39"/>
    <mergeCell ref="H39:I39"/>
    <mergeCell ref="J39:K39"/>
    <mergeCell ref="L39:M39"/>
    <mergeCell ref="N39:O39"/>
    <mergeCell ref="AX32:AY32"/>
    <mergeCell ref="AZ32:BA32"/>
    <mergeCell ref="BB32:BC32"/>
    <mergeCell ref="BD32:BE32"/>
    <mergeCell ref="BF32:BG32"/>
    <mergeCell ref="BH32:BI32"/>
    <mergeCell ref="AL32:AM32"/>
    <mergeCell ref="AN32:AO32"/>
    <mergeCell ref="AP32:AQ32"/>
    <mergeCell ref="AR32:AS32"/>
    <mergeCell ref="AT32:AU32"/>
    <mergeCell ref="AV32:AW32"/>
    <mergeCell ref="Z32:AA32"/>
    <mergeCell ref="AB32:AC32"/>
    <mergeCell ref="AF39:AG39"/>
    <mergeCell ref="AH39:AI39"/>
    <mergeCell ref="AJ32:AK32"/>
    <mergeCell ref="N32:O32"/>
    <mergeCell ref="P32:Q32"/>
    <mergeCell ref="R32:S32"/>
    <mergeCell ref="T32:U32"/>
    <mergeCell ref="V32:W32"/>
    <mergeCell ref="X32:Y32"/>
    <mergeCell ref="BJ32:BK32"/>
    <mergeCell ref="BL32:BM32"/>
    <mergeCell ref="B32:C32"/>
    <mergeCell ref="D32:E32"/>
    <mergeCell ref="F32:G32"/>
    <mergeCell ref="H32:I32"/>
    <mergeCell ref="J32:K32"/>
    <mergeCell ref="L32:M32"/>
    <mergeCell ref="BD25:BE25"/>
    <mergeCell ref="BF25:BG25"/>
    <mergeCell ref="BH25:BI25"/>
    <mergeCell ref="AF25:AG25"/>
    <mergeCell ref="AH25:AI25"/>
    <mergeCell ref="AJ25:AK25"/>
    <mergeCell ref="AL25:AM25"/>
    <mergeCell ref="AN25:AO25"/>
    <mergeCell ref="AP25:AQ25"/>
    <mergeCell ref="T25:U25"/>
    <mergeCell ref="V25:W25"/>
    <mergeCell ref="X25:Y25"/>
    <mergeCell ref="Z25:AA25"/>
    <mergeCell ref="AB25:AC25"/>
    <mergeCell ref="AD25:AE25"/>
    <mergeCell ref="AD32:AE32"/>
    <mergeCell ref="AF32:AG32"/>
    <mergeCell ref="AH32:AI32"/>
    <mergeCell ref="BJ25:BK25"/>
    <mergeCell ref="BL25:BM25"/>
    <mergeCell ref="BN25:BO25"/>
    <mergeCell ref="AR25:AS25"/>
    <mergeCell ref="AT25:AU25"/>
    <mergeCell ref="AV25:AW25"/>
    <mergeCell ref="AX25:AY25"/>
    <mergeCell ref="AZ25:BA25"/>
    <mergeCell ref="BB25:BC25"/>
    <mergeCell ref="BN18:BO18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B18:BC18"/>
    <mergeCell ref="BD18:BE18"/>
    <mergeCell ref="BF18:BG18"/>
    <mergeCell ref="BH18:BI18"/>
    <mergeCell ref="BJ18:BK18"/>
    <mergeCell ref="BL18:BM18"/>
    <mergeCell ref="AP18:AQ18"/>
    <mergeCell ref="AR18:AS18"/>
    <mergeCell ref="AT18:AU18"/>
    <mergeCell ref="AV18:AW18"/>
    <mergeCell ref="AX18:AY18"/>
    <mergeCell ref="AZ18:BA18"/>
    <mergeCell ref="AD18:AE18"/>
    <mergeCell ref="AF18:AG18"/>
    <mergeCell ref="AJ18:AK18"/>
    <mergeCell ref="AL18:AM18"/>
    <mergeCell ref="AN18:AO18"/>
    <mergeCell ref="R18:S18"/>
    <mergeCell ref="T18:U18"/>
    <mergeCell ref="V18:W18"/>
    <mergeCell ref="X18:Y18"/>
    <mergeCell ref="Z18:AA18"/>
    <mergeCell ref="AB18:AC18"/>
    <mergeCell ref="BN11:BO11"/>
    <mergeCell ref="B18:C18"/>
    <mergeCell ref="D18:E18"/>
    <mergeCell ref="F18:G18"/>
    <mergeCell ref="H18:I18"/>
    <mergeCell ref="J18:K18"/>
    <mergeCell ref="L18:M18"/>
    <mergeCell ref="N18:O18"/>
    <mergeCell ref="P18:Q18"/>
    <mergeCell ref="AZ11:BA11"/>
    <mergeCell ref="BB11:BC11"/>
    <mergeCell ref="BD11:BE11"/>
    <mergeCell ref="BF11:BG11"/>
    <mergeCell ref="BH11:BI11"/>
    <mergeCell ref="BJ11:BK11"/>
    <mergeCell ref="AN11:AO11"/>
    <mergeCell ref="AP11:AQ11"/>
    <mergeCell ref="AR11:AS11"/>
    <mergeCell ref="AT11:AU11"/>
    <mergeCell ref="AV11:AW11"/>
    <mergeCell ref="AX11:AY11"/>
    <mergeCell ref="AB11:AC11"/>
    <mergeCell ref="AD11:AE11"/>
    <mergeCell ref="AH18:AI18"/>
    <mergeCell ref="AJ11:AK11"/>
    <mergeCell ref="AL11:AM11"/>
    <mergeCell ref="P11:Q11"/>
    <mergeCell ref="R11:S11"/>
    <mergeCell ref="T11:U11"/>
    <mergeCell ref="V11:W11"/>
    <mergeCell ref="X11:Y11"/>
    <mergeCell ref="Z11:AA11"/>
    <mergeCell ref="BL11:BM11"/>
    <mergeCell ref="BN4:BO4"/>
    <mergeCell ref="B11:C11"/>
    <mergeCell ref="D11:E11"/>
    <mergeCell ref="F11:G11"/>
    <mergeCell ref="H11:I11"/>
    <mergeCell ref="J11:K11"/>
    <mergeCell ref="L11:M11"/>
    <mergeCell ref="N11:O11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F11:AG11"/>
    <mergeCell ref="AH11:AI11"/>
    <mergeCell ref="AJ4:AK4"/>
    <mergeCell ref="N4:O4"/>
    <mergeCell ref="P4:Q4"/>
    <mergeCell ref="R4:S4"/>
    <mergeCell ref="T4:U4"/>
    <mergeCell ref="V4:W4"/>
    <mergeCell ref="X4:Y4"/>
    <mergeCell ref="BJ4:BK4"/>
    <mergeCell ref="BL4:BM4"/>
    <mergeCell ref="B4:C4"/>
    <mergeCell ref="D4:E4"/>
    <mergeCell ref="F4:G4"/>
    <mergeCell ref="H4:I4"/>
    <mergeCell ref="J4:K4"/>
    <mergeCell ref="L4:M4"/>
    <mergeCell ref="AD4:AE4"/>
    <mergeCell ref="AF4:AG4"/>
    <mergeCell ref="AH4:AI4"/>
    <mergeCell ref="BP4:BQ4"/>
    <mergeCell ref="BP11:BQ11"/>
    <mergeCell ref="BP18:BQ18"/>
    <mergeCell ref="BP25:BQ25"/>
    <mergeCell ref="BP32:BQ32"/>
    <mergeCell ref="BP39:BQ39"/>
    <mergeCell ref="BP46:BQ46"/>
    <mergeCell ref="BP60:BQ60"/>
    <mergeCell ref="BP67:BQ67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BD53:BE53"/>
    <mergeCell ref="BF53:BG53"/>
    <mergeCell ref="BH53:BI53"/>
    <mergeCell ref="BJ53:BK53"/>
    <mergeCell ref="BL53:BM53"/>
    <mergeCell ref="BN53:BO53"/>
    <mergeCell ref="BP53:BQ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RowHeight="15" x14ac:dyDescent="0.25"/>
  <cols>
    <col min="1" max="1" width="31" style="6" customWidth="1"/>
    <col min="2" max="69" width="14.140625" style="4" customWidth="1"/>
    <col min="70" max="16384" width="9.140625" style="4"/>
  </cols>
  <sheetData>
    <row r="1" spans="1:69" ht="18.75" x14ac:dyDescent="0.3">
      <c r="A1" s="28" t="s">
        <v>205</v>
      </c>
    </row>
    <row r="2" spans="1:69" x14ac:dyDescent="0.25">
      <c r="A2" s="6" t="s">
        <v>43</v>
      </c>
    </row>
    <row r="3" spans="1:69" s="13" customFormat="1" x14ac:dyDescent="0.25">
      <c r="A3" s="7" t="s">
        <v>156</v>
      </c>
    </row>
    <row r="4" spans="1:69" s="15" customFormat="1" x14ac:dyDescent="0.25">
      <c r="A4" s="23" t="s">
        <v>0</v>
      </c>
      <c r="B4" s="110" t="s">
        <v>1</v>
      </c>
      <c r="C4" s="110"/>
      <c r="D4" s="110" t="s">
        <v>2</v>
      </c>
      <c r="E4" s="110"/>
      <c r="F4" s="110" t="s">
        <v>3</v>
      </c>
      <c r="G4" s="110"/>
      <c r="H4" s="110" t="s">
        <v>4</v>
      </c>
      <c r="I4" s="110"/>
      <c r="J4" s="110" t="s">
        <v>5</v>
      </c>
      <c r="K4" s="110"/>
      <c r="L4" s="110" t="s">
        <v>6</v>
      </c>
      <c r="M4" s="110"/>
      <c r="N4" s="110" t="s">
        <v>7</v>
      </c>
      <c r="O4" s="110"/>
      <c r="P4" s="110" t="s">
        <v>8</v>
      </c>
      <c r="Q4" s="110"/>
      <c r="R4" s="110" t="s">
        <v>9</v>
      </c>
      <c r="S4" s="110"/>
      <c r="T4" s="110" t="s">
        <v>10</v>
      </c>
      <c r="U4" s="110"/>
      <c r="V4" s="110" t="s">
        <v>11</v>
      </c>
      <c r="W4" s="110"/>
      <c r="X4" s="110" t="s">
        <v>12</v>
      </c>
      <c r="Y4" s="110"/>
      <c r="Z4" s="110" t="s">
        <v>13</v>
      </c>
      <c r="AA4" s="110"/>
      <c r="AB4" s="110" t="s">
        <v>14</v>
      </c>
      <c r="AC4" s="110"/>
      <c r="AD4" s="110" t="s">
        <v>15</v>
      </c>
      <c r="AE4" s="110"/>
      <c r="AF4" s="110" t="s">
        <v>16</v>
      </c>
      <c r="AG4" s="110"/>
      <c r="AH4" s="110" t="s">
        <v>17</v>
      </c>
      <c r="AI4" s="110"/>
      <c r="AJ4" s="110" t="s">
        <v>18</v>
      </c>
      <c r="AK4" s="110"/>
      <c r="AL4" s="110" t="s">
        <v>19</v>
      </c>
      <c r="AM4" s="110"/>
      <c r="AN4" s="110" t="s">
        <v>20</v>
      </c>
      <c r="AO4" s="110"/>
      <c r="AP4" s="110" t="s">
        <v>21</v>
      </c>
      <c r="AQ4" s="110"/>
      <c r="AR4" s="110" t="s">
        <v>161</v>
      </c>
      <c r="AS4" s="110"/>
      <c r="AT4" s="110" t="s">
        <v>162</v>
      </c>
      <c r="AU4" s="110"/>
      <c r="AV4" s="110" t="s">
        <v>22</v>
      </c>
      <c r="AW4" s="110"/>
      <c r="AX4" s="110" t="s">
        <v>23</v>
      </c>
      <c r="AY4" s="110"/>
      <c r="AZ4" s="110" t="s">
        <v>24</v>
      </c>
      <c r="BA4" s="110"/>
      <c r="BB4" s="110" t="s">
        <v>25</v>
      </c>
      <c r="BC4" s="110"/>
      <c r="BD4" s="110" t="s">
        <v>26</v>
      </c>
      <c r="BE4" s="110"/>
      <c r="BF4" s="110" t="s">
        <v>27</v>
      </c>
      <c r="BG4" s="110"/>
      <c r="BH4" s="110" t="s">
        <v>28</v>
      </c>
      <c r="BI4" s="110"/>
      <c r="BJ4" s="110" t="s">
        <v>29</v>
      </c>
      <c r="BK4" s="110"/>
      <c r="BL4" s="110" t="s">
        <v>30</v>
      </c>
      <c r="BM4" s="110"/>
      <c r="BN4" s="110" t="s">
        <v>31</v>
      </c>
      <c r="BO4" s="110"/>
      <c r="BP4" s="110" t="s">
        <v>304</v>
      </c>
      <c r="BQ4" s="110"/>
    </row>
    <row r="5" spans="1:69" s="43" customFormat="1" ht="44.25" customHeight="1" x14ac:dyDescent="0.25">
      <c r="A5" s="44"/>
      <c r="B5" s="44" t="s">
        <v>286</v>
      </c>
      <c r="C5" s="44" t="s">
        <v>287</v>
      </c>
      <c r="D5" s="44" t="s">
        <v>286</v>
      </c>
      <c r="E5" s="44" t="s">
        <v>287</v>
      </c>
      <c r="F5" s="44" t="s">
        <v>286</v>
      </c>
      <c r="G5" s="44" t="s">
        <v>287</v>
      </c>
      <c r="H5" s="44" t="s">
        <v>286</v>
      </c>
      <c r="I5" s="44" t="s">
        <v>287</v>
      </c>
      <c r="J5" s="44" t="s">
        <v>286</v>
      </c>
      <c r="K5" s="44" t="s">
        <v>287</v>
      </c>
      <c r="L5" s="44" t="s">
        <v>286</v>
      </c>
      <c r="M5" s="44" t="s">
        <v>287</v>
      </c>
      <c r="N5" s="44" t="s">
        <v>286</v>
      </c>
      <c r="O5" s="44" t="s">
        <v>287</v>
      </c>
      <c r="P5" s="44" t="s">
        <v>286</v>
      </c>
      <c r="Q5" s="44" t="s">
        <v>287</v>
      </c>
      <c r="R5" s="44" t="s">
        <v>286</v>
      </c>
      <c r="S5" s="44" t="s">
        <v>287</v>
      </c>
      <c r="T5" s="44" t="s">
        <v>286</v>
      </c>
      <c r="U5" s="44" t="s">
        <v>287</v>
      </c>
      <c r="V5" s="44" t="s">
        <v>286</v>
      </c>
      <c r="W5" s="44" t="s">
        <v>287</v>
      </c>
      <c r="X5" s="44" t="s">
        <v>286</v>
      </c>
      <c r="Y5" s="44" t="s">
        <v>287</v>
      </c>
      <c r="Z5" s="44" t="s">
        <v>286</v>
      </c>
      <c r="AA5" s="44" t="s">
        <v>287</v>
      </c>
      <c r="AB5" s="44" t="s">
        <v>286</v>
      </c>
      <c r="AC5" s="44" t="s">
        <v>287</v>
      </c>
      <c r="AD5" s="44" t="s">
        <v>286</v>
      </c>
      <c r="AE5" s="44" t="s">
        <v>287</v>
      </c>
      <c r="AF5" s="44" t="s">
        <v>286</v>
      </c>
      <c r="AG5" s="44" t="s">
        <v>287</v>
      </c>
      <c r="AH5" s="44" t="s">
        <v>286</v>
      </c>
      <c r="AI5" s="44" t="s">
        <v>287</v>
      </c>
      <c r="AJ5" s="44" t="s">
        <v>286</v>
      </c>
      <c r="AK5" s="44" t="s">
        <v>287</v>
      </c>
      <c r="AL5" s="44" t="s">
        <v>286</v>
      </c>
      <c r="AM5" s="44" t="s">
        <v>287</v>
      </c>
      <c r="AN5" s="44" t="s">
        <v>286</v>
      </c>
      <c r="AO5" s="44" t="s">
        <v>287</v>
      </c>
      <c r="AP5" s="44" t="s">
        <v>286</v>
      </c>
      <c r="AQ5" s="44" t="s">
        <v>287</v>
      </c>
      <c r="AR5" s="44" t="s">
        <v>286</v>
      </c>
      <c r="AS5" s="44" t="s">
        <v>287</v>
      </c>
      <c r="AT5" s="44" t="s">
        <v>286</v>
      </c>
      <c r="AU5" s="44" t="s">
        <v>287</v>
      </c>
      <c r="AV5" s="44" t="s">
        <v>286</v>
      </c>
      <c r="AW5" s="44" t="s">
        <v>287</v>
      </c>
      <c r="AX5" s="44" t="s">
        <v>286</v>
      </c>
      <c r="AY5" s="44" t="s">
        <v>287</v>
      </c>
      <c r="AZ5" s="44" t="s">
        <v>286</v>
      </c>
      <c r="BA5" s="44" t="s">
        <v>287</v>
      </c>
      <c r="BB5" s="44" t="s">
        <v>286</v>
      </c>
      <c r="BC5" s="44" t="s">
        <v>287</v>
      </c>
      <c r="BD5" s="44" t="s">
        <v>286</v>
      </c>
      <c r="BE5" s="44" t="s">
        <v>287</v>
      </c>
      <c r="BF5" s="44" t="s">
        <v>286</v>
      </c>
      <c r="BG5" s="44" t="s">
        <v>287</v>
      </c>
      <c r="BH5" s="44" t="s">
        <v>286</v>
      </c>
      <c r="BI5" s="44" t="s">
        <v>287</v>
      </c>
      <c r="BJ5" s="44" t="s">
        <v>286</v>
      </c>
      <c r="BK5" s="44" t="s">
        <v>287</v>
      </c>
      <c r="BL5" s="44" t="s">
        <v>286</v>
      </c>
      <c r="BM5" s="44" t="s">
        <v>287</v>
      </c>
      <c r="BN5" s="44" t="s">
        <v>286</v>
      </c>
      <c r="BO5" s="44" t="s">
        <v>287</v>
      </c>
      <c r="BP5" s="44" t="s">
        <v>286</v>
      </c>
      <c r="BQ5" s="44" t="s">
        <v>287</v>
      </c>
    </row>
    <row r="6" spans="1:69" x14ac:dyDescent="0.25">
      <c r="A6" s="25" t="s">
        <v>69</v>
      </c>
      <c r="B6" s="21"/>
      <c r="C6" s="21"/>
      <c r="D6" s="21"/>
      <c r="E6" s="21"/>
      <c r="F6" s="21"/>
      <c r="G6" s="21"/>
      <c r="H6" s="21"/>
      <c r="I6" s="21"/>
      <c r="J6" s="21">
        <v>1001474</v>
      </c>
      <c r="K6" s="21">
        <v>2107173</v>
      </c>
      <c r="L6" s="21">
        <v>92566</v>
      </c>
      <c r="M6" s="21">
        <v>156861</v>
      </c>
      <c r="N6" s="21">
        <v>147878</v>
      </c>
      <c r="O6" s="21">
        <v>315059</v>
      </c>
      <c r="P6" s="21"/>
      <c r="Q6" s="21"/>
      <c r="R6" s="21">
        <v>584</v>
      </c>
      <c r="S6" s="21">
        <v>1160</v>
      </c>
      <c r="T6" s="21"/>
      <c r="U6" s="21"/>
      <c r="V6" s="21"/>
      <c r="W6" s="21"/>
      <c r="X6" s="21">
        <v>181385</v>
      </c>
      <c r="Y6" s="21">
        <v>646249</v>
      </c>
      <c r="Z6" s="21">
        <v>209</v>
      </c>
      <c r="AA6" s="21">
        <v>208.74</v>
      </c>
      <c r="AB6" s="21">
        <v>1046933</v>
      </c>
      <c r="AC6" s="21">
        <v>2059072</v>
      </c>
      <c r="AD6" s="21">
        <v>1540684</v>
      </c>
      <c r="AE6" s="21">
        <v>3553220</v>
      </c>
      <c r="AF6" s="21">
        <v>136377</v>
      </c>
      <c r="AG6" s="21">
        <v>819074</v>
      </c>
      <c r="AH6" s="21">
        <v>943</v>
      </c>
      <c r="AI6" s="21">
        <v>16864</v>
      </c>
      <c r="AJ6" s="21">
        <v>54833</v>
      </c>
      <c r="AK6" s="21">
        <v>102636</v>
      </c>
      <c r="AL6" s="21">
        <v>86985</v>
      </c>
      <c r="AM6" s="21">
        <v>277810</v>
      </c>
      <c r="AN6" s="21"/>
      <c r="AO6" s="21"/>
      <c r="AP6" s="21">
        <v>1173673.4010000003</v>
      </c>
      <c r="AQ6" s="21">
        <v>3110900.9190000002</v>
      </c>
      <c r="AR6" s="21">
        <v>5697221</v>
      </c>
      <c r="AS6" s="21">
        <v>13568955</v>
      </c>
      <c r="AT6" s="21">
        <v>1707309</v>
      </c>
      <c r="AU6" s="21">
        <v>4043887</v>
      </c>
      <c r="AV6" s="21">
        <v>5</v>
      </c>
      <c r="AW6" s="21">
        <v>937</v>
      </c>
      <c r="AX6" s="21">
        <v>620915</v>
      </c>
      <c r="AY6" s="21">
        <v>1361137</v>
      </c>
      <c r="AZ6" s="21"/>
      <c r="BA6" s="21"/>
      <c r="BB6" s="21">
        <v>148802</v>
      </c>
      <c r="BC6" s="21">
        <v>375987</v>
      </c>
      <c r="BD6" s="21">
        <v>1007311</v>
      </c>
      <c r="BE6" s="21">
        <v>2166644</v>
      </c>
      <c r="BF6" s="21">
        <v>31555</v>
      </c>
      <c r="BG6" s="21">
        <v>107717</v>
      </c>
      <c r="BH6" s="21"/>
      <c r="BI6" s="21"/>
      <c r="BJ6" s="21">
        <v>1045430</v>
      </c>
      <c r="BK6" s="21">
        <v>1637251</v>
      </c>
      <c r="BL6" s="21">
        <v>2683233</v>
      </c>
      <c r="BM6" s="21">
        <v>5374586</v>
      </c>
      <c r="BN6" s="21">
        <v>210501</v>
      </c>
      <c r="BO6" s="21">
        <v>341095</v>
      </c>
      <c r="BP6" s="21">
        <f>B6+D6+F6+H6+J6+L6+N6+P6+R6+T6+V6+X6+Z6+AB6+AD6+AF6+AH6+AJ6+AL6+AN6+AP6+AR6+AT6+AV6+AX6+AZ6+BB6+BD6+BF6+BH6+BJ6+BL6+BN6</f>
        <v>18616806.401000001</v>
      </c>
      <c r="BQ6" s="21">
        <f>C6+E6+G6+I6+K6+M6+O6+Q6+S6+U6+W6+Y6+AA6+AC6+AE6+AG6+AI6+AK6+AM6+AO6+AQ6+AS6+AU6+AW6+AY6+BA6+BC6+BE6+BG6+BI6+BK6+BM6+BO6</f>
        <v>42144483.659000002</v>
      </c>
    </row>
    <row r="7" spans="1:69" x14ac:dyDescent="0.25">
      <c r="A7" s="25" t="s">
        <v>267</v>
      </c>
      <c r="B7" s="21"/>
      <c r="C7" s="21"/>
      <c r="D7" s="21"/>
      <c r="E7" s="21"/>
      <c r="F7" s="21"/>
      <c r="G7" s="21"/>
      <c r="H7" s="21"/>
      <c r="I7" s="21"/>
      <c r="J7" s="21">
        <v>265303</v>
      </c>
      <c r="K7" s="21">
        <v>1100482</v>
      </c>
      <c r="L7" s="21">
        <v>31494</v>
      </c>
      <c r="M7" s="21">
        <v>103364</v>
      </c>
      <c r="N7" s="21">
        <v>94968</v>
      </c>
      <c r="O7" s="21">
        <v>336619</v>
      </c>
      <c r="P7" s="21"/>
      <c r="Q7" s="21"/>
      <c r="R7" s="21">
        <v>19684</v>
      </c>
      <c r="S7" s="21">
        <v>47066</v>
      </c>
      <c r="T7" s="21">
        <v>2938</v>
      </c>
      <c r="U7" s="21">
        <v>10903</v>
      </c>
      <c r="V7" s="21"/>
      <c r="W7" s="21"/>
      <c r="X7" s="21">
        <v>137869</v>
      </c>
      <c r="Y7" s="21">
        <v>472393</v>
      </c>
      <c r="Z7" s="21">
        <v>39030</v>
      </c>
      <c r="AA7" s="21">
        <v>72085</v>
      </c>
      <c r="AB7" s="21">
        <v>161705</v>
      </c>
      <c r="AC7" s="21">
        <v>498625</v>
      </c>
      <c r="AD7" s="21">
        <v>230212</v>
      </c>
      <c r="AE7" s="21">
        <v>946720</v>
      </c>
      <c r="AF7" s="21">
        <v>27360</v>
      </c>
      <c r="AG7" s="21">
        <v>181079</v>
      </c>
      <c r="AH7" s="21">
        <v>9104</v>
      </c>
      <c r="AI7" s="21">
        <v>22873</v>
      </c>
      <c r="AJ7" s="21">
        <v>20672</v>
      </c>
      <c r="AK7" s="21">
        <v>45464</v>
      </c>
      <c r="AL7" s="21">
        <v>19645</v>
      </c>
      <c r="AM7" s="21">
        <v>48637</v>
      </c>
      <c r="AN7" s="21"/>
      <c r="AO7" s="21"/>
      <c r="AP7" s="21">
        <v>656665.7440000003</v>
      </c>
      <c r="AQ7" s="21">
        <v>4491691.4230000004</v>
      </c>
      <c r="AR7" s="21">
        <v>6011814</v>
      </c>
      <c r="AS7" s="21">
        <v>16893935</v>
      </c>
      <c r="AT7" s="21">
        <v>1292935</v>
      </c>
      <c r="AU7" s="21">
        <v>5161570</v>
      </c>
      <c r="AV7" s="21">
        <v>-89</v>
      </c>
      <c r="AW7" s="21">
        <v>752</v>
      </c>
      <c r="AX7" s="21">
        <v>150056</v>
      </c>
      <c r="AY7" s="21">
        <v>462191</v>
      </c>
      <c r="AZ7" s="21"/>
      <c r="BA7" s="21"/>
      <c r="BB7" s="21">
        <v>48180</v>
      </c>
      <c r="BC7" s="21">
        <v>184234</v>
      </c>
      <c r="BD7" s="21">
        <v>292100</v>
      </c>
      <c r="BE7" s="21">
        <v>1153980</v>
      </c>
      <c r="BF7" s="21">
        <v>63993</v>
      </c>
      <c r="BG7" s="21">
        <v>126046</v>
      </c>
      <c r="BH7" s="21"/>
      <c r="BI7" s="21"/>
      <c r="BJ7" s="21">
        <v>156962</v>
      </c>
      <c r="BK7" s="21">
        <v>650742</v>
      </c>
      <c r="BL7" s="21">
        <v>1951932</v>
      </c>
      <c r="BM7" s="21">
        <v>5781972</v>
      </c>
      <c r="BN7" s="21">
        <v>105576</v>
      </c>
      <c r="BO7" s="21">
        <v>181096</v>
      </c>
      <c r="BP7" s="21">
        <f>B7+D7+F7+H7+J7+L7+N7+P7+R7+T7+V7+X7+Z7+AB7+AD7+AF7+AH7+AJ7+AL7+AN7+AP7+AR7+AT7+AV7+AX7+AZ7+BB7+BD7+BF7+BH7+BJ7+BL7+BN7</f>
        <v>11790108.744000001</v>
      </c>
      <c r="BQ7" s="21">
        <f>C7+E7+G7+I7+K7+M7+O7+Q7+S7+U7+W7+Y7+AA7+AC7+AE7+AG7+AI7+AK7+AM7+AO7+AQ7+AS7+AU7+AW7+AY7+BA7+BC7+BE7+BG7+BI7+BK7+BM7+BO7</f>
        <v>38974519.423</v>
      </c>
    </row>
    <row r="9" spans="1:69" s="13" customFormat="1" x14ac:dyDescent="0.25">
      <c r="A9" s="7" t="s">
        <v>183</v>
      </c>
    </row>
    <row r="10" spans="1:69" s="15" customFormat="1" x14ac:dyDescent="0.25">
      <c r="A10" s="23" t="s">
        <v>0</v>
      </c>
      <c r="B10" s="110" t="s">
        <v>1</v>
      </c>
      <c r="C10" s="110"/>
      <c r="D10" s="110" t="s">
        <v>2</v>
      </c>
      <c r="E10" s="110"/>
      <c r="F10" s="110" t="s">
        <v>3</v>
      </c>
      <c r="G10" s="110"/>
      <c r="H10" s="110" t="s">
        <v>4</v>
      </c>
      <c r="I10" s="110"/>
      <c r="J10" s="110" t="s">
        <v>5</v>
      </c>
      <c r="K10" s="110"/>
      <c r="L10" s="110" t="s">
        <v>6</v>
      </c>
      <c r="M10" s="110"/>
      <c r="N10" s="110" t="s">
        <v>7</v>
      </c>
      <c r="O10" s="110"/>
      <c r="P10" s="110" t="s">
        <v>8</v>
      </c>
      <c r="Q10" s="110"/>
      <c r="R10" s="110" t="s">
        <v>9</v>
      </c>
      <c r="S10" s="110"/>
      <c r="T10" s="110" t="s">
        <v>10</v>
      </c>
      <c r="U10" s="110"/>
      <c r="V10" s="110" t="s">
        <v>11</v>
      </c>
      <c r="W10" s="110"/>
      <c r="X10" s="110" t="s">
        <v>12</v>
      </c>
      <c r="Y10" s="110"/>
      <c r="Z10" s="110" t="s">
        <v>13</v>
      </c>
      <c r="AA10" s="110"/>
      <c r="AB10" s="110" t="s">
        <v>14</v>
      </c>
      <c r="AC10" s="110"/>
      <c r="AD10" s="110" t="s">
        <v>15</v>
      </c>
      <c r="AE10" s="110"/>
      <c r="AF10" s="110" t="s">
        <v>16</v>
      </c>
      <c r="AG10" s="110"/>
      <c r="AH10" s="110" t="s">
        <v>17</v>
      </c>
      <c r="AI10" s="110"/>
      <c r="AJ10" s="110" t="s">
        <v>18</v>
      </c>
      <c r="AK10" s="110"/>
      <c r="AL10" s="110" t="s">
        <v>19</v>
      </c>
      <c r="AM10" s="110"/>
      <c r="AN10" s="110" t="s">
        <v>20</v>
      </c>
      <c r="AO10" s="110"/>
      <c r="AP10" s="110" t="s">
        <v>21</v>
      </c>
      <c r="AQ10" s="110"/>
      <c r="AR10" s="110" t="s">
        <v>161</v>
      </c>
      <c r="AS10" s="110"/>
      <c r="AT10" s="110" t="s">
        <v>162</v>
      </c>
      <c r="AU10" s="110"/>
      <c r="AV10" s="110" t="s">
        <v>22</v>
      </c>
      <c r="AW10" s="110"/>
      <c r="AX10" s="110" t="s">
        <v>23</v>
      </c>
      <c r="AY10" s="110"/>
      <c r="AZ10" s="110" t="s">
        <v>24</v>
      </c>
      <c r="BA10" s="110"/>
      <c r="BB10" s="110" t="s">
        <v>25</v>
      </c>
      <c r="BC10" s="110"/>
      <c r="BD10" s="110" t="s">
        <v>26</v>
      </c>
      <c r="BE10" s="110"/>
      <c r="BF10" s="110" t="s">
        <v>27</v>
      </c>
      <c r="BG10" s="110"/>
      <c r="BH10" s="110" t="s">
        <v>28</v>
      </c>
      <c r="BI10" s="110"/>
      <c r="BJ10" s="110" t="s">
        <v>29</v>
      </c>
      <c r="BK10" s="110"/>
      <c r="BL10" s="110" t="s">
        <v>30</v>
      </c>
      <c r="BM10" s="110"/>
      <c r="BN10" s="110" t="s">
        <v>31</v>
      </c>
      <c r="BO10" s="110"/>
      <c r="BP10" s="110" t="s">
        <v>304</v>
      </c>
      <c r="BQ10" s="110"/>
    </row>
    <row r="11" spans="1:69" s="43" customFormat="1" ht="44.25" customHeight="1" x14ac:dyDescent="0.25">
      <c r="A11" s="44"/>
      <c r="B11" s="44" t="s">
        <v>286</v>
      </c>
      <c r="C11" s="44" t="s">
        <v>287</v>
      </c>
      <c r="D11" s="44" t="s">
        <v>286</v>
      </c>
      <c r="E11" s="44" t="s">
        <v>287</v>
      </c>
      <c r="F11" s="44" t="s">
        <v>286</v>
      </c>
      <c r="G11" s="44" t="s">
        <v>287</v>
      </c>
      <c r="H11" s="44" t="s">
        <v>286</v>
      </c>
      <c r="I11" s="44" t="s">
        <v>287</v>
      </c>
      <c r="J11" s="44" t="s">
        <v>286</v>
      </c>
      <c r="K11" s="44" t="s">
        <v>287</v>
      </c>
      <c r="L11" s="44" t="s">
        <v>286</v>
      </c>
      <c r="M11" s="44" t="s">
        <v>287</v>
      </c>
      <c r="N11" s="44" t="s">
        <v>286</v>
      </c>
      <c r="O11" s="44" t="s">
        <v>287</v>
      </c>
      <c r="P11" s="44" t="s">
        <v>286</v>
      </c>
      <c r="Q11" s="44" t="s">
        <v>287</v>
      </c>
      <c r="R11" s="44" t="s">
        <v>286</v>
      </c>
      <c r="S11" s="44" t="s">
        <v>287</v>
      </c>
      <c r="T11" s="44" t="s">
        <v>286</v>
      </c>
      <c r="U11" s="44" t="s">
        <v>287</v>
      </c>
      <c r="V11" s="44" t="s">
        <v>286</v>
      </c>
      <c r="W11" s="44" t="s">
        <v>287</v>
      </c>
      <c r="X11" s="44" t="s">
        <v>286</v>
      </c>
      <c r="Y11" s="44" t="s">
        <v>287</v>
      </c>
      <c r="Z11" s="44" t="s">
        <v>286</v>
      </c>
      <c r="AA11" s="44" t="s">
        <v>287</v>
      </c>
      <c r="AB11" s="44" t="s">
        <v>286</v>
      </c>
      <c r="AC11" s="44" t="s">
        <v>287</v>
      </c>
      <c r="AD11" s="44" t="s">
        <v>286</v>
      </c>
      <c r="AE11" s="44" t="s">
        <v>287</v>
      </c>
      <c r="AF11" s="44" t="s">
        <v>286</v>
      </c>
      <c r="AG11" s="44" t="s">
        <v>287</v>
      </c>
      <c r="AH11" s="44" t="s">
        <v>286</v>
      </c>
      <c r="AI11" s="44" t="s">
        <v>287</v>
      </c>
      <c r="AJ11" s="44" t="s">
        <v>286</v>
      </c>
      <c r="AK11" s="44" t="s">
        <v>287</v>
      </c>
      <c r="AL11" s="44" t="s">
        <v>286</v>
      </c>
      <c r="AM11" s="44" t="s">
        <v>287</v>
      </c>
      <c r="AN11" s="44" t="s">
        <v>286</v>
      </c>
      <c r="AO11" s="44" t="s">
        <v>287</v>
      </c>
      <c r="AP11" s="44" t="s">
        <v>286</v>
      </c>
      <c r="AQ11" s="44" t="s">
        <v>287</v>
      </c>
      <c r="AR11" s="44" t="s">
        <v>286</v>
      </c>
      <c r="AS11" s="44" t="s">
        <v>287</v>
      </c>
      <c r="AT11" s="44" t="s">
        <v>286</v>
      </c>
      <c r="AU11" s="44" t="s">
        <v>287</v>
      </c>
      <c r="AV11" s="44" t="s">
        <v>286</v>
      </c>
      <c r="AW11" s="44" t="s">
        <v>287</v>
      </c>
      <c r="AX11" s="44" t="s">
        <v>286</v>
      </c>
      <c r="AY11" s="44" t="s">
        <v>287</v>
      </c>
      <c r="AZ11" s="44" t="s">
        <v>286</v>
      </c>
      <c r="BA11" s="44" t="s">
        <v>287</v>
      </c>
      <c r="BB11" s="44" t="s">
        <v>286</v>
      </c>
      <c r="BC11" s="44" t="s">
        <v>287</v>
      </c>
      <c r="BD11" s="44" t="s">
        <v>286</v>
      </c>
      <c r="BE11" s="44" t="s">
        <v>287</v>
      </c>
      <c r="BF11" s="44" t="s">
        <v>286</v>
      </c>
      <c r="BG11" s="44" t="s">
        <v>287</v>
      </c>
      <c r="BH11" s="44" t="s">
        <v>286</v>
      </c>
      <c r="BI11" s="44" t="s">
        <v>287</v>
      </c>
      <c r="BJ11" s="44" t="s">
        <v>286</v>
      </c>
      <c r="BK11" s="44" t="s">
        <v>287</v>
      </c>
      <c r="BL11" s="44" t="s">
        <v>286</v>
      </c>
      <c r="BM11" s="44" t="s">
        <v>287</v>
      </c>
      <c r="BN11" s="44" t="s">
        <v>286</v>
      </c>
      <c r="BO11" s="44" t="s">
        <v>287</v>
      </c>
      <c r="BP11" s="44" t="s">
        <v>286</v>
      </c>
      <c r="BQ11" s="44" t="s">
        <v>287</v>
      </c>
    </row>
    <row r="12" spans="1:69" x14ac:dyDescent="0.25">
      <c r="A12" s="25" t="s">
        <v>69</v>
      </c>
      <c r="B12" s="21"/>
      <c r="C12" s="21"/>
      <c r="D12" s="21"/>
      <c r="E12" s="21"/>
      <c r="F12" s="21"/>
      <c r="G12" s="21"/>
      <c r="H12" s="21"/>
      <c r="I12" s="21"/>
      <c r="J12" s="21">
        <v>254167</v>
      </c>
      <c r="K12" s="21">
        <v>736660</v>
      </c>
      <c r="L12" s="21">
        <v>71650</v>
      </c>
      <c r="M12" s="21">
        <v>163179</v>
      </c>
      <c r="N12" s="21">
        <v>100631</v>
      </c>
      <c r="O12" s="21">
        <v>267186</v>
      </c>
      <c r="P12" s="21"/>
      <c r="Q12" s="21"/>
      <c r="R12" s="21"/>
      <c r="S12" s="21"/>
      <c r="T12" s="21"/>
      <c r="U12" s="21"/>
      <c r="V12" s="21"/>
      <c r="W12" s="21"/>
      <c r="X12" s="21">
        <v>112124</v>
      </c>
      <c r="Y12" s="21">
        <v>276330</v>
      </c>
      <c r="Z12" s="21"/>
      <c r="AA12" s="21"/>
      <c r="AB12" s="21">
        <f>284913+75375</f>
        <v>360288</v>
      </c>
      <c r="AC12" s="21">
        <f>827870+84541</f>
        <v>912411</v>
      </c>
      <c r="AD12" s="21">
        <v>488131</v>
      </c>
      <c r="AE12" s="21">
        <v>1587555</v>
      </c>
      <c r="AF12" s="21">
        <v>175809</v>
      </c>
      <c r="AG12" s="21">
        <v>953744</v>
      </c>
      <c r="AH12" s="21"/>
      <c r="AI12" s="21"/>
      <c r="AJ12" s="21">
        <v>48994</v>
      </c>
      <c r="AK12" s="21">
        <v>136030</v>
      </c>
      <c r="AL12" s="21">
        <v>33106</v>
      </c>
      <c r="AM12" s="21">
        <v>86200</v>
      </c>
      <c r="AN12" s="21"/>
      <c r="AO12" s="21"/>
      <c r="AP12" s="21">
        <v>158892.63300000003</v>
      </c>
      <c r="AQ12" s="21">
        <v>612687.277</v>
      </c>
      <c r="AR12" s="21">
        <v>1212001</v>
      </c>
      <c r="AS12" s="21">
        <v>4741515</v>
      </c>
      <c r="AT12" s="21">
        <v>571404</v>
      </c>
      <c r="AU12" s="21">
        <v>2068778</v>
      </c>
      <c r="AV12" s="21"/>
      <c r="AW12" s="21"/>
      <c r="AX12" s="21">
        <v>443111</v>
      </c>
      <c r="AY12" s="21">
        <v>661734</v>
      </c>
      <c r="AZ12" s="21"/>
      <c r="BA12" s="21"/>
      <c r="BB12" s="21">
        <v>54884</v>
      </c>
      <c r="BC12" s="21">
        <v>136175</v>
      </c>
      <c r="BD12" s="21">
        <v>29030</v>
      </c>
      <c r="BE12" s="21">
        <v>75960</v>
      </c>
      <c r="BF12" s="21">
        <v>2440</v>
      </c>
      <c r="BG12" s="21">
        <v>5266</v>
      </c>
      <c r="BH12" s="21"/>
      <c r="BI12" s="21"/>
      <c r="BJ12" s="21">
        <v>713983</v>
      </c>
      <c r="BK12" s="21">
        <v>1687227</v>
      </c>
      <c r="BL12" s="21">
        <v>626006</v>
      </c>
      <c r="BM12" s="21">
        <v>2114844</v>
      </c>
      <c r="BN12" s="21">
        <v>24801</v>
      </c>
      <c r="BO12" s="21">
        <v>116312</v>
      </c>
      <c r="BP12" s="21">
        <f t="shared" ref="BP12:BP13" si="0">B12+D12+F12+H12+J12+L12+N12+P12+R12+T12+V12+X12+Z12+AB12+AD12+AF12+AH12+AJ12+AL12+AN12+AP12+AR12+AT12+AV12+AX12+AZ12+BB12+BD12+BF12+BH12+BJ12+BL12+BN12</f>
        <v>5481452.6329999994</v>
      </c>
      <c r="BQ12" s="21">
        <f t="shared" ref="BQ12:BQ13" si="1">C12+E12+G12+I12+K12+M12+O12+Q12+S12+U12+W12+Y12+AA12+AC12+AE12+AG12+AI12+AK12+AM12+AO12+AQ12+AS12+AU12+AW12+AY12+BA12+BC12+BE12+BG12+BI12+BK12+BM12+BO12</f>
        <v>17339793.276999999</v>
      </c>
    </row>
    <row r="13" spans="1:69" x14ac:dyDescent="0.25">
      <c r="A13" s="25" t="s">
        <v>267</v>
      </c>
      <c r="B13" s="21"/>
      <c r="C13" s="21"/>
      <c r="D13" s="21"/>
      <c r="E13" s="21"/>
      <c r="F13" s="21"/>
      <c r="G13" s="21"/>
      <c r="H13" s="21"/>
      <c r="I13" s="21"/>
      <c r="J13" s="21">
        <v>203774</v>
      </c>
      <c r="K13" s="21">
        <v>713245</v>
      </c>
      <c r="L13" s="21">
        <v>48421</v>
      </c>
      <c r="M13" s="21">
        <v>98270</v>
      </c>
      <c r="N13" s="21">
        <v>38728</v>
      </c>
      <c r="O13" s="21">
        <v>104177</v>
      </c>
      <c r="P13" s="21"/>
      <c r="Q13" s="21"/>
      <c r="R13" s="21"/>
      <c r="S13" s="21"/>
      <c r="T13" s="21">
        <v>1</v>
      </c>
      <c r="U13" s="21">
        <v>1</v>
      </c>
      <c r="V13" s="21"/>
      <c r="W13" s="21"/>
      <c r="X13" s="21">
        <v>67731</v>
      </c>
      <c r="Y13" s="21">
        <v>242222</v>
      </c>
      <c r="Z13" s="21">
        <v>30</v>
      </c>
      <c r="AA13" s="21">
        <v>40</v>
      </c>
      <c r="AB13" s="21">
        <f>148097+814</f>
        <v>148911</v>
      </c>
      <c r="AC13" s="21">
        <f>411694+445</f>
        <v>412139</v>
      </c>
      <c r="AD13" s="21">
        <v>443349</v>
      </c>
      <c r="AE13" s="21">
        <v>1560369</v>
      </c>
      <c r="AF13" s="21">
        <v>89146</v>
      </c>
      <c r="AG13" s="21">
        <v>260080</v>
      </c>
      <c r="AH13" s="21"/>
      <c r="AI13" s="21"/>
      <c r="AJ13" s="21">
        <v>58129</v>
      </c>
      <c r="AK13" s="21">
        <v>139601</v>
      </c>
      <c r="AL13" s="21">
        <v>7913</v>
      </c>
      <c r="AM13" s="21">
        <v>9918</v>
      </c>
      <c r="AN13" s="21"/>
      <c r="AO13" s="21"/>
      <c r="AP13" s="21">
        <v>190154.58000000002</v>
      </c>
      <c r="AQ13" s="21">
        <v>655130.01</v>
      </c>
      <c r="AR13" s="21">
        <v>665143</v>
      </c>
      <c r="AS13" s="21">
        <v>1910104</v>
      </c>
      <c r="AT13" s="21">
        <v>-10402</v>
      </c>
      <c r="AU13" s="21">
        <v>1124265</v>
      </c>
      <c r="AV13" s="21">
        <v>6</v>
      </c>
      <c r="AW13" s="21">
        <v>82</v>
      </c>
      <c r="AX13" s="21">
        <v>7253</v>
      </c>
      <c r="AY13" s="21">
        <v>111873</v>
      </c>
      <c r="AZ13" s="21"/>
      <c r="BA13" s="21"/>
      <c r="BB13" s="21">
        <v>16640</v>
      </c>
      <c r="BC13" s="21">
        <v>86643</v>
      </c>
      <c r="BD13" s="21">
        <v>23121</v>
      </c>
      <c r="BE13" s="21">
        <v>94890</v>
      </c>
      <c r="BF13" s="21">
        <v>4556</v>
      </c>
      <c r="BG13" s="21">
        <v>8509</v>
      </c>
      <c r="BH13" s="21"/>
      <c r="BI13" s="21"/>
      <c r="BJ13" s="21">
        <v>676530</v>
      </c>
      <c r="BK13" s="21">
        <v>1716127</v>
      </c>
      <c r="BL13" s="21">
        <v>-117809</v>
      </c>
      <c r="BM13" s="21">
        <v>1389545</v>
      </c>
      <c r="BN13" s="21">
        <v>47955</v>
      </c>
      <c r="BO13" s="21">
        <v>38019</v>
      </c>
      <c r="BP13" s="21">
        <f t="shared" si="0"/>
        <v>2609280.58</v>
      </c>
      <c r="BQ13" s="21">
        <f t="shared" si="1"/>
        <v>10675249.01</v>
      </c>
    </row>
    <row r="15" spans="1:69" x14ac:dyDescent="0.25">
      <c r="A15" s="7" t="s">
        <v>184</v>
      </c>
    </row>
    <row r="16" spans="1:69" s="15" customFormat="1" x14ac:dyDescent="0.25">
      <c r="A16" s="23" t="s">
        <v>0</v>
      </c>
      <c r="B16" s="110" t="s">
        <v>1</v>
      </c>
      <c r="C16" s="110"/>
      <c r="D16" s="110" t="s">
        <v>2</v>
      </c>
      <c r="E16" s="110"/>
      <c r="F16" s="110" t="s">
        <v>3</v>
      </c>
      <c r="G16" s="110"/>
      <c r="H16" s="110" t="s">
        <v>4</v>
      </c>
      <c r="I16" s="110"/>
      <c r="J16" s="110" t="s">
        <v>5</v>
      </c>
      <c r="K16" s="110"/>
      <c r="L16" s="110" t="s">
        <v>6</v>
      </c>
      <c r="M16" s="110"/>
      <c r="N16" s="110" t="s">
        <v>7</v>
      </c>
      <c r="O16" s="110"/>
      <c r="P16" s="110" t="s">
        <v>8</v>
      </c>
      <c r="Q16" s="110"/>
      <c r="R16" s="110" t="s">
        <v>9</v>
      </c>
      <c r="S16" s="110"/>
      <c r="T16" s="110" t="s">
        <v>10</v>
      </c>
      <c r="U16" s="110"/>
      <c r="V16" s="110" t="s">
        <v>11</v>
      </c>
      <c r="W16" s="110"/>
      <c r="X16" s="110" t="s">
        <v>12</v>
      </c>
      <c r="Y16" s="110"/>
      <c r="Z16" s="110" t="s">
        <v>13</v>
      </c>
      <c r="AA16" s="110"/>
      <c r="AB16" s="110" t="s">
        <v>14</v>
      </c>
      <c r="AC16" s="110"/>
      <c r="AD16" s="110" t="s">
        <v>15</v>
      </c>
      <c r="AE16" s="110"/>
      <c r="AF16" s="110" t="s">
        <v>16</v>
      </c>
      <c r="AG16" s="110"/>
      <c r="AH16" s="110" t="s">
        <v>17</v>
      </c>
      <c r="AI16" s="110"/>
      <c r="AJ16" s="110" t="s">
        <v>18</v>
      </c>
      <c r="AK16" s="110"/>
      <c r="AL16" s="110" t="s">
        <v>19</v>
      </c>
      <c r="AM16" s="110"/>
      <c r="AN16" s="110" t="s">
        <v>20</v>
      </c>
      <c r="AO16" s="110"/>
      <c r="AP16" s="110" t="s">
        <v>21</v>
      </c>
      <c r="AQ16" s="110"/>
      <c r="AR16" s="110" t="s">
        <v>161</v>
      </c>
      <c r="AS16" s="110"/>
      <c r="AT16" s="110" t="s">
        <v>162</v>
      </c>
      <c r="AU16" s="110"/>
      <c r="AV16" s="110" t="s">
        <v>22</v>
      </c>
      <c r="AW16" s="110"/>
      <c r="AX16" s="110" t="s">
        <v>23</v>
      </c>
      <c r="AY16" s="110"/>
      <c r="AZ16" s="110" t="s">
        <v>24</v>
      </c>
      <c r="BA16" s="110"/>
      <c r="BB16" s="110" t="s">
        <v>25</v>
      </c>
      <c r="BC16" s="110"/>
      <c r="BD16" s="110" t="s">
        <v>26</v>
      </c>
      <c r="BE16" s="110"/>
      <c r="BF16" s="110" t="s">
        <v>27</v>
      </c>
      <c r="BG16" s="110"/>
      <c r="BH16" s="110" t="s">
        <v>28</v>
      </c>
      <c r="BI16" s="110"/>
      <c r="BJ16" s="110" t="s">
        <v>29</v>
      </c>
      <c r="BK16" s="110"/>
      <c r="BL16" s="110" t="s">
        <v>30</v>
      </c>
      <c r="BM16" s="110"/>
      <c r="BN16" s="110" t="s">
        <v>31</v>
      </c>
      <c r="BO16" s="110"/>
      <c r="BP16" s="110" t="s">
        <v>304</v>
      </c>
      <c r="BQ16" s="110"/>
    </row>
    <row r="17" spans="1:69" s="43" customFormat="1" ht="44.25" customHeight="1" x14ac:dyDescent="0.25">
      <c r="A17" s="44"/>
      <c r="B17" s="44" t="s">
        <v>286</v>
      </c>
      <c r="C17" s="44" t="s">
        <v>287</v>
      </c>
      <c r="D17" s="44" t="s">
        <v>286</v>
      </c>
      <c r="E17" s="44" t="s">
        <v>287</v>
      </c>
      <c r="F17" s="44" t="s">
        <v>286</v>
      </c>
      <c r="G17" s="44" t="s">
        <v>287</v>
      </c>
      <c r="H17" s="44" t="s">
        <v>286</v>
      </c>
      <c r="I17" s="44" t="s">
        <v>287</v>
      </c>
      <c r="J17" s="44" t="s">
        <v>286</v>
      </c>
      <c r="K17" s="44" t="s">
        <v>287</v>
      </c>
      <c r="L17" s="44" t="s">
        <v>286</v>
      </c>
      <c r="M17" s="44" t="s">
        <v>287</v>
      </c>
      <c r="N17" s="44" t="s">
        <v>286</v>
      </c>
      <c r="O17" s="44" t="s">
        <v>287</v>
      </c>
      <c r="P17" s="44" t="s">
        <v>286</v>
      </c>
      <c r="Q17" s="44" t="s">
        <v>287</v>
      </c>
      <c r="R17" s="44" t="s">
        <v>286</v>
      </c>
      <c r="S17" s="44" t="s">
        <v>287</v>
      </c>
      <c r="T17" s="44" t="s">
        <v>286</v>
      </c>
      <c r="U17" s="44" t="s">
        <v>287</v>
      </c>
      <c r="V17" s="44" t="s">
        <v>286</v>
      </c>
      <c r="W17" s="44" t="s">
        <v>287</v>
      </c>
      <c r="X17" s="44" t="s">
        <v>286</v>
      </c>
      <c r="Y17" s="44" t="s">
        <v>287</v>
      </c>
      <c r="Z17" s="44" t="s">
        <v>286</v>
      </c>
      <c r="AA17" s="44" t="s">
        <v>287</v>
      </c>
      <c r="AB17" s="44" t="s">
        <v>286</v>
      </c>
      <c r="AC17" s="44" t="s">
        <v>287</v>
      </c>
      <c r="AD17" s="44" t="s">
        <v>286</v>
      </c>
      <c r="AE17" s="44" t="s">
        <v>287</v>
      </c>
      <c r="AF17" s="44" t="s">
        <v>286</v>
      </c>
      <c r="AG17" s="44" t="s">
        <v>287</v>
      </c>
      <c r="AH17" s="44" t="s">
        <v>286</v>
      </c>
      <c r="AI17" s="44" t="s">
        <v>287</v>
      </c>
      <c r="AJ17" s="44" t="s">
        <v>286</v>
      </c>
      <c r="AK17" s="44" t="s">
        <v>287</v>
      </c>
      <c r="AL17" s="44" t="s">
        <v>286</v>
      </c>
      <c r="AM17" s="44" t="s">
        <v>287</v>
      </c>
      <c r="AN17" s="44" t="s">
        <v>286</v>
      </c>
      <c r="AO17" s="44" t="s">
        <v>287</v>
      </c>
      <c r="AP17" s="44" t="s">
        <v>286</v>
      </c>
      <c r="AQ17" s="44" t="s">
        <v>287</v>
      </c>
      <c r="AR17" s="44" t="s">
        <v>286</v>
      </c>
      <c r="AS17" s="44" t="s">
        <v>287</v>
      </c>
      <c r="AT17" s="44" t="s">
        <v>286</v>
      </c>
      <c r="AU17" s="44" t="s">
        <v>287</v>
      </c>
      <c r="AV17" s="44" t="s">
        <v>286</v>
      </c>
      <c r="AW17" s="44" t="s">
        <v>287</v>
      </c>
      <c r="AX17" s="44" t="s">
        <v>286</v>
      </c>
      <c r="AY17" s="44" t="s">
        <v>287</v>
      </c>
      <c r="AZ17" s="44" t="s">
        <v>286</v>
      </c>
      <c r="BA17" s="44" t="s">
        <v>287</v>
      </c>
      <c r="BB17" s="44" t="s">
        <v>286</v>
      </c>
      <c r="BC17" s="44" t="s">
        <v>287</v>
      </c>
      <c r="BD17" s="44" t="s">
        <v>286</v>
      </c>
      <c r="BE17" s="44" t="s">
        <v>287</v>
      </c>
      <c r="BF17" s="44" t="s">
        <v>286</v>
      </c>
      <c r="BG17" s="44" t="s">
        <v>287</v>
      </c>
      <c r="BH17" s="44" t="s">
        <v>286</v>
      </c>
      <c r="BI17" s="44" t="s">
        <v>287</v>
      </c>
      <c r="BJ17" s="44" t="s">
        <v>286</v>
      </c>
      <c r="BK17" s="44" t="s">
        <v>287</v>
      </c>
      <c r="BL17" s="44" t="s">
        <v>286</v>
      </c>
      <c r="BM17" s="44" t="s">
        <v>287</v>
      </c>
      <c r="BN17" s="44" t="s">
        <v>286</v>
      </c>
      <c r="BO17" s="44" t="s">
        <v>287</v>
      </c>
      <c r="BP17" s="44" t="s">
        <v>286</v>
      </c>
      <c r="BQ17" s="44" t="s">
        <v>287</v>
      </c>
    </row>
    <row r="18" spans="1:69" x14ac:dyDescent="0.25">
      <c r="A18" s="25" t="s">
        <v>69</v>
      </c>
      <c r="B18" s="21">
        <v>16740</v>
      </c>
      <c r="C18" s="21">
        <v>20677</v>
      </c>
      <c r="D18" s="21"/>
      <c r="E18" s="21"/>
      <c r="F18" s="21"/>
      <c r="G18" s="21"/>
      <c r="H18" s="21"/>
      <c r="I18" s="21"/>
      <c r="J18" s="21">
        <v>4689143</v>
      </c>
      <c r="K18" s="21">
        <v>12520003</v>
      </c>
      <c r="L18" s="21">
        <v>1597885</v>
      </c>
      <c r="M18" s="21">
        <v>4707124</v>
      </c>
      <c r="N18" s="21">
        <v>2703207</v>
      </c>
      <c r="O18" s="21">
        <v>8492610</v>
      </c>
      <c r="P18" s="21"/>
      <c r="Q18" s="21"/>
      <c r="R18" s="21">
        <v>169</v>
      </c>
      <c r="S18" s="21">
        <v>175</v>
      </c>
      <c r="T18" s="21">
        <v>8</v>
      </c>
      <c r="U18" s="21">
        <v>8</v>
      </c>
      <c r="V18" s="21"/>
      <c r="W18" s="21"/>
      <c r="X18" s="21">
        <f>810209+679517</f>
        <v>1489726</v>
      </c>
      <c r="Y18" s="21">
        <f>2390096+1497398</f>
        <v>3887494</v>
      </c>
      <c r="Z18" s="21">
        <v>135300</v>
      </c>
      <c r="AA18" s="21">
        <v>206622</v>
      </c>
      <c r="AB18" s="21">
        <f>3017506+868558</f>
        <v>3886064</v>
      </c>
      <c r="AC18" s="21">
        <f>8316225+2656996</f>
        <v>10973221</v>
      </c>
      <c r="AD18" s="21">
        <v>6896552</v>
      </c>
      <c r="AE18" s="21">
        <v>19802020</v>
      </c>
      <c r="AF18" s="21">
        <v>4829873</v>
      </c>
      <c r="AG18" s="21">
        <v>13427295</v>
      </c>
      <c r="AH18" s="21">
        <v>138893</v>
      </c>
      <c r="AI18" s="21">
        <v>336521</v>
      </c>
      <c r="AJ18" s="21">
        <v>620477</v>
      </c>
      <c r="AK18" s="21">
        <v>1737049</v>
      </c>
      <c r="AL18" s="21">
        <v>376270</v>
      </c>
      <c r="AM18" s="21">
        <v>1097069</v>
      </c>
      <c r="AN18" s="21"/>
      <c r="AO18" s="21"/>
      <c r="AP18" s="21">
        <v>11035657.855</v>
      </c>
      <c r="AQ18" s="21">
        <v>31319195.675000001</v>
      </c>
      <c r="AR18" s="21">
        <v>16452689</v>
      </c>
      <c r="AS18" s="21">
        <v>45558052</v>
      </c>
      <c r="AT18" s="21">
        <v>7866408</v>
      </c>
      <c r="AU18" s="21">
        <v>22193120</v>
      </c>
      <c r="AV18" s="21">
        <f>182+17559</f>
        <v>17741</v>
      </c>
      <c r="AW18" s="21">
        <v>47769</v>
      </c>
      <c r="AX18" s="21">
        <v>3968485</v>
      </c>
      <c r="AY18" s="21">
        <v>11251816</v>
      </c>
      <c r="AZ18" s="21"/>
      <c r="BA18" s="21"/>
      <c r="BB18" s="21">
        <v>2674075</v>
      </c>
      <c r="BC18" s="21">
        <v>8310236</v>
      </c>
      <c r="BD18" s="21">
        <v>1841533</v>
      </c>
      <c r="BE18" s="21">
        <v>4436690</v>
      </c>
      <c r="BF18" s="21">
        <v>2576331</v>
      </c>
      <c r="BG18" s="21">
        <v>8029279</v>
      </c>
      <c r="BH18" s="21"/>
      <c r="BI18" s="21"/>
      <c r="BJ18" s="21">
        <v>3546291</v>
      </c>
      <c r="BK18" s="21">
        <v>9503910</v>
      </c>
      <c r="BL18" s="21">
        <v>9969541</v>
      </c>
      <c r="BM18" s="21">
        <v>29118150</v>
      </c>
      <c r="BN18" s="21">
        <f>727527+145827</f>
        <v>873354</v>
      </c>
      <c r="BO18" s="21">
        <f>1931687+597257</f>
        <v>2528944</v>
      </c>
      <c r="BP18" s="21">
        <f>B18+D18+F18+H18+J18+L18+N18+P18+R18+T18+V18+X18+Z18+AB18+AD18+AF18+AH18+AJ18+AL18+AN18+AP18+AR18+AT18+AV18+AX18+AZ18+BB18+BD18+BF18+BH18+BJ18+BL18+BN18</f>
        <v>88202412.855000004</v>
      </c>
      <c r="BQ18" s="21">
        <f>C18+E18+G18+I18+K18+M18+O18+Q18+S18+U18+W18+Y18+AA18+AC18+AE18+AG18+AI18+AK18+AM18+AO18+AQ18+AS18+AU18+AW18+AY18+BA18+BC18+BE18+BG18+BI18+BK18+BM18+BO18</f>
        <v>249505049.67500001</v>
      </c>
    </row>
    <row r="19" spans="1:69" x14ac:dyDescent="0.25">
      <c r="A19" s="25" t="s">
        <v>267</v>
      </c>
      <c r="B19" s="21">
        <v>44839</v>
      </c>
      <c r="C19" s="21">
        <v>60613</v>
      </c>
      <c r="D19" s="21"/>
      <c r="E19" s="21"/>
      <c r="F19" s="21"/>
      <c r="G19" s="21"/>
      <c r="H19" s="21"/>
      <c r="I19" s="21"/>
      <c r="J19" s="21">
        <v>6834533</v>
      </c>
      <c r="K19" s="21">
        <v>19702220</v>
      </c>
      <c r="L19" s="21">
        <v>1756424</v>
      </c>
      <c r="M19" s="21">
        <v>5692713</v>
      </c>
      <c r="N19" s="21">
        <v>5138265</v>
      </c>
      <c r="O19" s="21">
        <v>15019205</v>
      </c>
      <c r="P19" s="21"/>
      <c r="Q19" s="21"/>
      <c r="R19" s="21">
        <v>4430</v>
      </c>
      <c r="S19" s="21">
        <v>4831</v>
      </c>
      <c r="T19" s="21">
        <v>12529</v>
      </c>
      <c r="U19" s="21">
        <v>12855</v>
      </c>
      <c r="V19" s="21"/>
      <c r="W19" s="21"/>
      <c r="X19" s="21">
        <f>677762+1076068</f>
        <v>1753830</v>
      </c>
      <c r="Y19" s="21">
        <f>2132918+2686377</f>
        <v>4819295</v>
      </c>
      <c r="Z19" s="21">
        <v>723275</v>
      </c>
      <c r="AA19" s="21">
        <v>1392921</v>
      </c>
      <c r="AB19" s="21">
        <f>2678055+1692939</f>
        <v>4370994</v>
      </c>
      <c r="AC19" s="21">
        <f>6951883+5028400</f>
        <v>11980283</v>
      </c>
      <c r="AD19" s="21">
        <v>9118146</v>
      </c>
      <c r="AE19" s="21">
        <v>26808417</v>
      </c>
      <c r="AF19" s="21">
        <v>5661243</v>
      </c>
      <c r="AG19" s="21">
        <v>16749220</v>
      </c>
      <c r="AH19" s="21">
        <v>304675</v>
      </c>
      <c r="AI19" s="21">
        <v>824127</v>
      </c>
      <c r="AJ19" s="21">
        <v>1360834</v>
      </c>
      <c r="AK19" s="21">
        <v>2794613</v>
      </c>
      <c r="AL19" s="21">
        <v>1047968</v>
      </c>
      <c r="AM19" s="21">
        <v>942334</v>
      </c>
      <c r="AN19" s="21"/>
      <c r="AO19" s="21"/>
      <c r="AP19" s="21">
        <v>9013525.3220000006</v>
      </c>
      <c r="AQ19" s="21">
        <v>25410363.841000002</v>
      </c>
      <c r="AR19" s="21">
        <v>24333421</v>
      </c>
      <c r="AS19" s="21">
        <v>65616975</v>
      </c>
      <c r="AT19" s="21">
        <v>-3140462</v>
      </c>
      <c r="AU19" s="21">
        <v>-7679522</v>
      </c>
      <c r="AV19" s="21">
        <f>200665+469</f>
        <v>201134</v>
      </c>
      <c r="AW19" s="21">
        <v>495808</v>
      </c>
      <c r="AX19" s="21">
        <v>4725267</v>
      </c>
      <c r="AY19" s="21">
        <v>13095833</v>
      </c>
      <c r="AZ19" s="21"/>
      <c r="BA19" s="21"/>
      <c r="BB19" s="21">
        <v>3908303</v>
      </c>
      <c r="BC19" s="21">
        <v>11405539</v>
      </c>
      <c r="BD19" s="21">
        <v>1887225</v>
      </c>
      <c r="BE19" s="21">
        <v>6352986</v>
      </c>
      <c r="BF19" s="21">
        <v>4138686</v>
      </c>
      <c r="BG19" s="21">
        <v>12962574</v>
      </c>
      <c r="BH19" s="21"/>
      <c r="BI19" s="21"/>
      <c r="BJ19" s="21">
        <v>5007579</v>
      </c>
      <c r="BK19" s="21">
        <v>14586353</v>
      </c>
      <c r="BL19" s="21">
        <v>16879366</v>
      </c>
      <c r="BM19" s="21">
        <v>52947493</v>
      </c>
      <c r="BN19" s="21">
        <v>1364645</v>
      </c>
      <c r="BO19" s="21">
        <v>3923074</v>
      </c>
      <c r="BP19" s="21">
        <f>B19+D19+F19+H19+J19+L19+N19+P19+R19+T19+V19+X19+Z19+AB19+AD19+AF19+AH19+AJ19+AL19+AN19+AP19+AR19+AT19+AV19+AX19+AZ19+BB19+BD19+BF19+BH19+BJ19+BL19+BN19</f>
        <v>106450674.322</v>
      </c>
      <c r="BQ19" s="21">
        <f>C19+E19+G19+I19+K19+M19+O19+Q19+S19+U19+W19+Y19+AA19+AC19+AE19+AG19+AI19+AK19+AM19+AO19+AQ19+AS19+AU19+AW19+AY19+BA19+BC19+BE19+BG19+BI19+BK19+BM19+BO19</f>
        <v>305921123.84100002</v>
      </c>
    </row>
    <row r="21" spans="1:69" x14ac:dyDescent="0.25">
      <c r="A21" s="7" t="s">
        <v>157</v>
      </c>
    </row>
    <row r="22" spans="1:69" s="15" customFormat="1" x14ac:dyDescent="0.25">
      <c r="A22" s="23" t="s">
        <v>0</v>
      </c>
      <c r="B22" s="110" t="s">
        <v>1</v>
      </c>
      <c r="C22" s="110"/>
      <c r="D22" s="110" t="s">
        <v>2</v>
      </c>
      <c r="E22" s="110"/>
      <c r="F22" s="110" t="s">
        <v>3</v>
      </c>
      <c r="G22" s="110"/>
      <c r="H22" s="110" t="s">
        <v>4</v>
      </c>
      <c r="I22" s="110"/>
      <c r="J22" s="110" t="s">
        <v>5</v>
      </c>
      <c r="K22" s="110"/>
      <c r="L22" s="110" t="s">
        <v>6</v>
      </c>
      <c r="M22" s="110"/>
      <c r="N22" s="110" t="s">
        <v>7</v>
      </c>
      <c r="O22" s="110"/>
      <c r="P22" s="110" t="s">
        <v>8</v>
      </c>
      <c r="Q22" s="110"/>
      <c r="R22" s="110" t="s">
        <v>9</v>
      </c>
      <c r="S22" s="110"/>
      <c r="T22" s="110" t="s">
        <v>10</v>
      </c>
      <c r="U22" s="110"/>
      <c r="V22" s="110" t="s">
        <v>11</v>
      </c>
      <c r="W22" s="110"/>
      <c r="X22" s="110" t="s">
        <v>12</v>
      </c>
      <c r="Y22" s="110"/>
      <c r="Z22" s="110" t="s">
        <v>13</v>
      </c>
      <c r="AA22" s="110"/>
      <c r="AB22" s="110" t="s">
        <v>14</v>
      </c>
      <c r="AC22" s="110"/>
      <c r="AD22" s="110" t="s">
        <v>15</v>
      </c>
      <c r="AE22" s="110"/>
      <c r="AF22" s="110" t="s">
        <v>16</v>
      </c>
      <c r="AG22" s="110"/>
      <c r="AH22" s="110" t="s">
        <v>17</v>
      </c>
      <c r="AI22" s="110"/>
      <c r="AJ22" s="110" t="s">
        <v>18</v>
      </c>
      <c r="AK22" s="110"/>
      <c r="AL22" s="110" t="s">
        <v>19</v>
      </c>
      <c r="AM22" s="110"/>
      <c r="AN22" s="110" t="s">
        <v>20</v>
      </c>
      <c r="AO22" s="110"/>
      <c r="AP22" s="110" t="s">
        <v>21</v>
      </c>
      <c r="AQ22" s="110"/>
      <c r="AR22" s="110" t="s">
        <v>161</v>
      </c>
      <c r="AS22" s="110"/>
      <c r="AT22" s="110" t="s">
        <v>162</v>
      </c>
      <c r="AU22" s="110"/>
      <c r="AV22" s="110" t="s">
        <v>22</v>
      </c>
      <c r="AW22" s="110"/>
      <c r="AX22" s="110" t="s">
        <v>23</v>
      </c>
      <c r="AY22" s="110"/>
      <c r="AZ22" s="110" t="s">
        <v>24</v>
      </c>
      <c r="BA22" s="110"/>
      <c r="BB22" s="110" t="s">
        <v>25</v>
      </c>
      <c r="BC22" s="110"/>
      <c r="BD22" s="110" t="s">
        <v>26</v>
      </c>
      <c r="BE22" s="110"/>
      <c r="BF22" s="110" t="s">
        <v>27</v>
      </c>
      <c r="BG22" s="110"/>
      <c r="BH22" s="110" t="s">
        <v>28</v>
      </c>
      <c r="BI22" s="110"/>
      <c r="BJ22" s="110" t="s">
        <v>29</v>
      </c>
      <c r="BK22" s="110"/>
      <c r="BL22" s="110" t="s">
        <v>30</v>
      </c>
      <c r="BM22" s="110"/>
      <c r="BN22" s="110" t="s">
        <v>31</v>
      </c>
      <c r="BO22" s="110"/>
      <c r="BP22" s="110" t="s">
        <v>304</v>
      </c>
      <c r="BQ22" s="110"/>
    </row>
    <row r="23" spans="1:69" s="43" customFormat="1" ht="44.25" customHeight="1" x14ac:dyDescent="0.25">
      <c r="A23" s="44"/>
      <c r="B23" s="44" t="s">
        <v>286</v>
      </c>
      <c r="C23" s="44" t="s">
        <v>287</v>
      </c>
      <c r="D23" s="44" t="s">
        <v>286</v>
      </c>
      <c r="E23" s="44" t="s">
        <v>287</v>
      </c>
      <c r="F23" s="44" t="s">
        <v>286</v>
      </c>
      <c r="G23" s="44" t="s">
        <v>287</v>
      </c>
      <c r="H23" s="44" t="s">
        <v>286</v>
      </c>
      <c r="I23" s="44" t="s">
        <v>287</v>
      </c>
      <c r="J23" s="44" t="s">
        <v>286</v>
      </c>
      <c r="K23" s="44" t="s">
        <v>287</v>
      </c>
      <c r="L23" s="44" t="s">
        <v>286</v>
      </c>
      <c r="M23" s="44" t="s">
        <v>287</v>
      </c>
      <c r="N23" s="44" t="s">
        <v>286</v>
      </c>
      <c r="O23" s="44" t="s">
        <v>287</v>
      </c>
      <c r="P23" s="44" t="s">
        <v>286</v>
      </c>
      <c r="Q23" s="44" t="s">
        <v>287</v>
      </c>
      <c r="R23" s="44" t="s">
        <v>286</v>
      </c>
      <c r="S23" s="44" t="s">
        <v>287</v>
      </c>
      <c r="T23" s="44" t="s">
        <v>286</v>
      </c>
      <c r="U23" s="44" t="s">
        <v>287</v>
      </c>
      <c r="V23" s="44" t="s">
        <v>286</v>
      </c>
      <c r="W23" s="44" t="s">
        <v>287</v>
      </c>
      <c r="X23" s="44" t="s">
        <v>286</v>
      </c>
      <c r="Y23" s="44" t="s">
        <v>287</v>
      </c>
      <c r="Z23" s="44" t="s">
        <v>286</v>
      </c>
      <c r="AA23" s="44" t="s">
        <v>287</v>
      </c>
      <c r="AB23" s="44" t="s">
        <v>286</v>
      </c>
      <c r="AC23" s="44" t="s">
        <v>287</v>
      </c>
      <c r="AD23" s="44" t="s">
        <v>286</v>
      </c>
      <c r="AE23" s="44" t="s">
        <v>287</v>
      </c>
      <c r="AF23" s="44" t="s">
        <v>286</v>
      </c>
      <c r="AG23" s="44" t="s">
        <v>287</v>
      </c>
      <c r="AH23" s="44" t="s">
        <v>286</v>
      </c>
      <c r="AI23" s="44" t="s">
        <v>287</v>
      </c>
      <c r="AJ23" s="44" t="s">
        <v>286</v>
      </c>
      <c r="AK23" s="44" t="s">
        <v>287</v>
      </c>
      <c r="AL23" s="44" t="s">
        <v>286</v>
      </c>
      <c r="AM23" s="44" t="s">
        <v>287</v>
      </c>
      <c r="AN23" s="44" t="s">
        <v>286</v>
      </c>
      <c r="AO23" s="44" t="s">
        <v>287</v>
      </c>
      <c r="AP23" s="44" t="s">
        <v>286</v>
      </c>
      <c r="AQ23" s="44" t="s">
        <v>287</v>
      </c>
      <c r="AR23" s="44" t="s">
        <v>286</v>
      </c>
      <c r="AS23" s="44" t="s">
        <v>287</v>
      </c>
      <c r="AT23" s="44" t="s">
        <v>286</v>
      </c>
      <c r="AU23" s="44" t="s">
        <v>287</v>
      </c>
      <c r="AV23" s="44" t="s">
        <v>286</v>
      </c>
      <c r="AW23" s="44" t="s">
        <v>287</v>
      </c>
      <c r="AX23" s="44" t="s">
        <v>286</v>
      </c>
      <c r="AY23" s="44" t="s">
        <v>287</v>
      </c>
      <c r="AZ23" s="44" t="s">
        <v>286</v>
      </c>
      <c r="BA23" s="44" t="s">
        <v>287</v>
      </c>
      <c r="BB23" s="44" t="s">
        <v>286</v>
      </c>
      <c r="BC23" s="44" t="s">
        <v>287</v>
      </c>
      <c r="BD23" s="44" t="s">
        <v>286</v>
      </c>
      <c r="BE23" s="44" t="s">
        <v>287</v>
      </c>
      <c r="BF23" s="44" t="s">
        <v>286</v>
      </c>
      <c r="BG23" s="44" t="s">
        <v>287</v>
      </c>
      <c r="BH23" s="44" t="s">
        <v>286</v>
      </c>
      <c r="BI23" s="44" t="s">
        <v>287</v>
      </c>
      <c r="BJ23" s="44" t="s">
        <v>286</v>
      </c>
      <c r="BK23" s="44" t="s">
        <v>287</v>
      </c>
      <c r="BL23" s="44" t="s">
        <v>286</v>
      </c>
      <c r="BM23" s="44" t="s">
        <v>287</v>
      </c>
      <c r="BN23" s="44" t="s">
        <v>286</v>
      </c>
      <c r="BO23" s="44" t="s">
        <v>287</v>
      </c>
      <c r="BP23" s="44" t="s">
        <v>286</v>
      </c>
      <c r="BQ23" s="44" t="s">
        <v>287</v>
      </c>
    </row>
    <row r="24" spans="1:69" x14ac:dyDescent="0.25">
      <c r="A24" s="25" t="s">
        <v>69</v>
      </c>
      <c r="B24" s="21"/>
      <c r="C24" s="21"/>
      <c r="D24" s="21"/>
      <c r="E24" s="21"/>
      <c r="F24" s="21"/>
      <c r="G24" s="21"/>
      <c r="H24" s="21"/>
      <c r="I24" s="21"/>
      <c r="J24" s="21">
        <v>129681</v>
      </c>
      <c r="K24" s="21">
        <v>309393</v>
      </c>
      <c r="L24" s="21">
        <v>113122</v>
      </c>
      <c r="M24" s="21">
        <v>154824</v>
      </c>
      <c r="N24" s="21">
        <v>23022</v>
      </c>
      <c r="O24" s="21">
        <v>63585</v>
      </c>
      <c r="P24" s="21"/>
      <c r="Q24" s="21"/>
      <c r="R24" s="21"/>
      <c r="S24" s="21"/>
      <c r="T24" s="21"/>
      <c r="U24" s="21"/>
      <c r="V24" s="21"/>
      <c r="W24" s="21"/>
      <c r="X24" s="21">
        <v>58880</v>
      </c>
      <c r="Y24" s="21">
        <v>112331</v>
      </c>
      <c r="Z24" s="21"/>
      <c r="AA24" s="21"/>
      <c r="AB24" s="21">
        <v>187995</v>
      </c>
      <c r="AC24" s="21">
        <v>454274</v>
      </c>
      <c r="AD24" s="21">
        <v>202190</v>
      </c>
      <c r="AE24" s="21">
        <v>697291</v>
      </c>
      <c r="AF24" s="21">
        <v>124280</v>
      </c>
      <c r="AG24" s="21">
        <v>262279</v>
      </c>
      <c r="AH24" s="21"/>
      <c r="AI24" s="21"/>
      <c r="AJ24" s="21">
        <v>68893</v>
      </c>
      <c r="AK24" s="21">
        <v>115292</v>
      </c>
      <c r="AL24" s="21">
        <v>1441</v>
      </c>
      <c r="AM24" s="21">
        <v>7506</v>
      </c>
      <c r="AN24" s="21"/>
      <c r="AO24" s="21"/>
      <c r="AP24" s="21">
        <v>148748.598</v>
      </c>
      <c r="AQ24" s="21">
        <v>480913.40600000002</v>
      </c>
      <c r="AR24" s="21">
        <v>580900</v>
      </c>
      <c r="AS24" s="21">
        <v>1272118</v>
      </c>
      <c r="AT24" s="21">
        <v>238894</v>
      </c>
      <c r="AU24" s="21">
        <v>710864</v>
      </c>
      <c r="AV24" s="21"/>
      <c r="AW24" s="21"/>
      <c r="AX24" s="21">
        <v>59787</v>
      </c>
      <c r="AY24" s="21">
        <v>152229</v>
      </c>
      <c r="AZ24" s="21"/>
      <c r="BA24" s="21"/>
      <c r="BB24" s="21">
        <v>175499</v>
      </c>
      <c r="BC24" s="21">
        <v>203825</v>
      </c>
      <c r="BD24" s="21">
        <v>14023</v>
      </c>
      <c r="BE24" s="21">
        <v>46560</v>
      </c>
      <c r="BF24" s="21">
        <v>8720</v>
      </c>
      <c r="BG24" s="21">
        <v>35353</v>
      </c>
      <c r="BH24" s="21"/>
      <c r="BI24" s="21"/>
      <c r="BJ24" s="21">
        <v>213401</v>
      </c>
      <c r="BK24" s="21">
        <v>500161</v>
      </c>
      <c r="BL24" s="21">
        <v>388967</v>
      </c>
      <c r="BM24" s="21">
        <v>1283139</v>
      </c>
      <c r="BN24" s="21">
        <v>1159</v>
      </c>
      <c r="BO24" s="21">
        <v>11582</v>
      </c>
      <c r="BP24" s="21">
        <f t="shared" ref="BP24:BP25" si="2">B24+D24+F24+H24+J24+L24+N24+P24+R24+T24+V24+X24+Z24+AB24+AD24+AF24+AH24+AJ24+AL24+AN24+AP24+AR24+AT24+AV24+AX24+AZ24+BB24+BD24+BF24+BH24+BJ24+BL24+BN24</f>
        <v>2739602.5980000002</v>
      </c>
      <c r="BQ24" s="21">
        <f t="shared" ref="BQ24:BQ25" si="3">C24+E24+G24+I24+K24+M24+O24+Q24+S24+U24+W24+Y24+AA24+AC24+AE24+AG24+AI24+AK24+AM24+AO24+AQ24+AS24+AU24+AW24+AY24+BA24+BC24+BE24+BG24+BI24+BK24+BM24+BO24</f>
        <v>6873519.4059999995</v>
      </c>
    </row>
    <row r="25" spans="1:69" x14ac:dyDescent="0.25">
      <c r="A25" s="25" t="s">
        <v>267</v>
      </c>
      <c r="B25" s="21"/>
      <c r="C25" s="21"/>
      <c r="D25" s="21"/>
      <c r="E25" s="21"/>
      <c r="F25" s="21"/>
      <c r="G25" s="21"/>
      <c r="H25" s="21"/>
      <c r="I25" s="21"/>
      <c r="J25" s="21">
        <v>25197</v>
      </c>
      <c r="K25" s="21">
        <v>105213</v>
      </c>
      <c r="L25" s="21">
        <v>18941</v>
      </c>
      <c r="M25" s="21">
        <v>35488</v>
      </c>
      <c r="N25" s="21">
        <v>5200</v>
      </c>
      <c r="O25" s="21">
        <v>14176</v>
      </c>
      <c r="P25" s="21"/>
      <c r="Q25" s="21"/>
      <c r="R25" s="21">
        <v>71</v>
      </c>
      <c r="S25" s="21">
        <v>134</v>
      </c>
      <c r="T25" s="21">
        <v>618</v>
      </c>
      <c r="U25" s="21">
        <v>2071</v>
      </c>
      <c r="V25" s="21"/>
      <c r="W25" s="21"/>
      <c r="X25" s="21">
        <v>7612</v>
      </c>
      <c r="Y25" s="21">
        <v>19031</v>
      </c>
      <c r="Z25" s="21">
        <v>-1206</v>
      </c>
      <c r="AA25" s="21">
        <v>526</v>
      </c>
      <c r="AB25" s="21">
        <v>145329</v>
      </c>
      <c r="AC25" s="21">
        <v>253791</v>
      </c>
      <c r="AD25" s="21">
        <v>74020</v>
      </c>
      <c r="AE25" s="21">
        <v>261296</v>
      </c>
      <c r="AF25" s="21">
        <v>-2881</v>
      </c>
      <c r="AG25" s="21">
        <v>112397</v>
      </c>
      <c r="AH25" s="21">
        <v>115</v>
      </c>
      <c r="AI25" s="21">
        <v>274</v>
      </c>
      <c r="AJ25" s="21">
        <v>-15838</v>
      </c>
      <c r="AK25" s="21">
        <v>34362</v>
      </c>
      <c r="AL25" s="21">
        <v>2538</v>
      </c>
      <c r="AM25" s="21">
        <v>11597</v>
      </c>
      <c r="AN25" s="21"/>
      <c r="AO25" s="21"/>
      <c r="AP25" s="21">
        <v>164175.86499999999</v>
      </c>
      <c r="AQ25" s="21">
        <v>518914.25400000007</v>
      </c>
      <c r="AR25" s="21">
        <v>1317441</v>
      </c>
      <c r="AS25" s="21">
        <v>2742612</v>
      </c>
      <c r="AT25" s="21">
        <v>191760</v>
      </c>
      <c r="AU25" s="21">
        <v>582803</v>
      </c>
      <c r="AV25" s="21">
        <v>-49</v>
      </c>
      <c r="AW25" s="21">
        <v>157</v>
      </c>
      <c r="AX25" s="21">
        <v>96610</v>
      </c>
      <c r="AY25" s="21">
        <v>238621</v>
      </c>
      <c r="AZ25" s="21"/>
      <c r="BA25" s="21"/>
      <c r="BB25" s="21">
        <v>3970</v>
      </c>
      <c r="BC25" s="21">
        <v>33963</v>
      </c>
      <c r="BD25" s="21">
        <v>-10580</v>
      </c>
      <c r="BE25" s="21">
        <v>17232</v>
      </c>
      <c r="BF25" s="21">
        <v>12343</v>
      </c>
      <c r="BG25" s="21">
        <v>34911</v>
      </c>
      <c r="BH25" s="21"/>
      <c r="BI25" s="21"/>
      <c r="BJ25" s="21">
        <v>24471</v>
      </c>
      <c r="BK25" s="21">
        <v>70632</v>
      </c>
      <c r="BL25" s="21">
        <v>-17561</v>
      </c>
      <c r="BM25" s="21">
        <v>2501860</v>
      </c>
      <c r="BN25" s="21">
        <v>4081</v>
      </c>
      <c r="BO25" s="21">
        <v>54383</v>
      </c>
      <c r="BP25" s="21">
        <f t="shared" si="2"/>
        <v>2046377.865</v>
      </c>
      <c r="BQ25" s="21">
        <f t="shared" si="3"/>
        <v>7646444.2540000007</v>
      </c>
    </row>
    <row r="27" spans="1:69" x14ac:dyDescent="0.25">
      <c r="A27" s="7" t="s">
        <v>185</v>
      </c>
    </row>
    <row r="28" spans="1:69" s="15" customFormat="1" x14ac:dyDescent="0.25">
      <c r="A28" s="23" t="s">
        <v>0</v>
      </c>
      <c r="B28" s="110" t="s">
        <v>1</v>
      </c>
      <c r="C28" s="110"/>
      <c r="D28" s="110" t="s">
        <v>2</v>
      </c>
      <c r="E28" s="110"/>
      <c r="F28" s="110" t="s">
        <v>3</v>
      </c>
      <c r="G28" s="110"/>
      <c r="H28" s="110" t="s">
        <v>4</v>
      </c>
      <c r="I28" s="110"/>
      <c r="J28" s="110" t="s">
        <v>5</v>
      </c>
      <c r="K28" s="110"/>
      <c r="L28" s="110" t="s">
        <v>6</v>
      </c>
      <c r="M28" s="110"/>
      <c r="N28" s="110" t="s">
        <v>7</v>
      </c>
      <c r="O28" s="110"/>
      <c r="P28" s="110" t="s">
        <v>8</v>
      </c>
      <c r="Q28" s="110"/>
      <c r="R28" s="110" t="s">
        <v>9</v>
      </c>
      <c r="S28" s="110"/>
      <c r="T28" s="110" t="s">
        <v>10</v>
      </c>
      <c r="U28" s="110"/>
      <c r="V28" s="110" t="s">
        <v>11</v>
      </c>
      <c r="W28" s="110"/>
      <c r="X28" s="110" t="s">
        <v>12</v>
      </c>
      <c r="Y28" s="110"/>
      <c r="Z28" s="110" t="s">
        <v>13</v>
      </c>
      <c r="AA28" s="110"/>
      <c r="AB28" s="110" t="s">
        <v>14</v>
      </c>
      <c r="AC28" s="110"/>
      <c r="AD28" s="110" t="s">
        <v>15</v>
      </c>
      <c r="AE28" s="110"/>
      <c r="AF28" s="110" t="s">
        <v>16</v>
      </c>
      <c r="AG28" s="110"/>
      <c r="AH28" s="110" t="s">
        <v>17</v>
      </c>
      <c r="AI28" s="110"/>
      <c r="AJ28" s="110" t="s">
        <v>18</v>
      </c>
      <c r="AK28" s="110"/>
      <c r="AL28" s="110" t="s">
        <v>19</v>
      </c>
      <c r="AM28" s="110"/>
      <c r="AN28" s="110" t="s">
        <v>20</v>
      </c>
      <c r="AO28" s="110"/>
      <c r="AP28" s="110" t="s">
        <v>21</v>
      </c>
      <c r="AQ28" s="110"/>
      <c r="AR28" s="110" t="s">
        <v>161</v>
      </c>
      <c r="AS28" s="110"/>
      <c r="AT28" s="110" t="s">
        <v>162</v>
      </c>
      <c r="AU28" s="110"/>
      <c r="AV28" s="110" t="s">
        <v>22</v>
      </c>
      <c r="AW28" s="110"/>
      <c r="AX28" s="110" t="s">
        <v>23</v>
      </c>
      <c r="AY28" s="110"/>
      <c r="AZ28" s="110" t="s">
        <v>24</v>
      </c>
      <c r="BA28" s="110"/>
      <c r="BB28" s="110" t="s">
        <v>25</v>
      </c>
      <c r="BC28" s="110"/>
      <c r="BD28" s="110" t="s">
        <v>26</v>
      </c>
      <c r="BE28" s="110"/>
      <c r="BF28" s="110" t="s">
        <v>27</v>
      </c>
      <c r="BG28" s="110"/>
      <c r="BH28" s="110" t="s">
        <v>28</v>
      </c>
      <c r="BI28" s="110"/>
      <c r="BJ28" s="110" t="s">
        <v>29</v>
      </c>
      <c r="BK28" s="110"/>
      <c r="BL28" s="110" t="s">
        <v>30</v>
      </c>
      <c r="BM28" s="110"/>
      <c r="BN28" s="110" t="s">
        <v>31</v>
      </c>
      <c r="BO28" s="110"/>
      <c r="BP28" s="110" t="s">
        <v>304</v>
      </c>
      <c r="BQ28" s="110"/>
    </row>
    <row r="29" spans="1:69" s="43" customFormat="1" ht="44.25" customHeight="1" x14ac:dyDescent="0.25">
      <c r="A29" s="44"/>
      <c r="B29" s="44" t="s">
        <v>286</v>
      </c>
      <c r="C29" s="44" t="s">
        <v>287</v>
      </c>
      <c r="D29" s="44" t="s">
        <v>286</v>
      </c>
      <c r="E29" s="44" t="s">
        <v>287</v>
      </c>
      <c r="F29" s="44" t="s">
        <v>286</v>
      </c>
      <c r="G29" s="44" t="s">
        <v>287</v>
      </c>
      <c r="H29" s="44" t="s">
        <v>286</v>
      </c>
      <c r="I29" s="44" t="s">
        <v>287</v>
      </c>
      <c r="J29" s="44" t="s">
        <v>286</v>
      </c>
      <c r="K29" s="44" t="s">
        <v>287</v>
      </c>
      <c r="L29" s="44" t="s">
        <v>286</v>
      </c>
      <c r="M29" s="44" t="s">
        <v>287</v>
      </c>
      <c r="N29" s="44" t="s">
        <v>286</v>
      </c>
      <c r="O29" s="44" t="s">
        <v>287</v>
      </c>
      <c r="P29" s="44" t="s">
        <v>286</v>
      </c>
      <c r="Q29" s="44" t="s">
        <v>287</v>
      </c>
      <c r="R29" s="44" t="s">
        <v>286</v>
      </c>
      <c r="S29" s="44" t="s">
        <v>287</v>
      </c>
      <c r="T29" s="44" t="s">
        <v>286</v>
      </c>
      <c r="U29" s="44" t="s">
        <v>287</v>
      </c>
      <c r="V29" s="44" t="s">
        <v>286</v>
      </c>
      <c r="W29" s="44" t="s">
        <v>287</v>
      </c>
      <c r="X29" s="44" t="s">
        <v>286</v>
      </c>
      <c r="Y29" s="44" t="s">
        <v>287</v>
      </c>
      <c r="Z29" s="44" t="s">
        <v>286</v>
      </c>
      <c r="AA29" s="44" t="s">
        <v>287</v>
      </c>
      <c r="AB29" s="44" t="s">
        <v>286</v>
      </c>
      <c r="AC29" s="44" t="s">
        <v>287</v>
      </c>
      <c r="AD29" s="44" t="s">
        <v>286</v>
      </c>
      <c r="AE29" s="44" t="s">
        <v>287</v>
      </c>
      <c r="AF29" s="44" t="s">
        <v>286</v>
      </c>
      <c r="AG29" s="44" t="s">
        <v>287</v>
      </c>
      <c r="AH29" s="44" t="s">
        <v>286</v>
      </c>
      <c r="AI29" s="44" t="s">
        <v>287</v>
      </c>
      <c r="AJ29" s="44" t="s">
        <v>286</v>
      </c>
      <c r="AK29" s="44" t="s">
        <v>287</v>
      </c>
      <c r="AL29" s="44" t="s">
        <v>286</v>
      </c>
      <c r="AM29" s="44" t="s">
        <v>287</v>
      </c>
      <c r="AN29" s="44" t="s">
        <v>286</v>
      </c>
      <c r="AO29" s="44" t="s">
        <v>287</v>
      </c>
      <c r="AP29" s="44" t="s">
        <v>286</v>
      </c>
      <c r="AQ29" s="44" t="s">
        <v>287</v>
      </c>
      <c r="AR29" s="44" t="s">
        <v>286</v>
      </c>
      <c r="AS29" s="44" t="s">
        <v>287</v>
      </c>
      <c r="AT29" s="44" t="s">
        <v>286</v>
      </c>
      <c r="AU29" s="44" t="s">
        <v>287</v>
      </c>
      <c r="AV29" s="44" t="s">
        <v>286</v>
      </c>
      <c r="AW29" s="44" t="s">
        <v>287</v>
      </c>
      <c r="AX29" s="44" t="s">
        <v>286</v>
      </c>
      <c r="AY29" s="44" t="s">
        <v>287</v>
      </c>
      <c r="AZ29" s="44" t="s">
        <v>286</v>
      </c>
      <c r="BA29" s="44" t="s">
        <v>287</v>
      </c>
      <c r="BB29" s="44" t="s">
        <v>286</v>
      </c>
      <c r="BC29" s="44" t="s">
        <v>287</v>
      </c>
      <c r="BD29" s="44" t="s">
        <v>286</v>
      </c>
      <c r="BE29" s="44" t="s">
        <v>287</v>
      </c>
      <c r="BF29" s="44" t="s">
        <v>286</v>
      </c>
      <c r="BG29" s="44" t="s">
        <v>287</v>
      </c>
      <c r="BH29" s="44" t="s">
        <v>286</v>
      </c>
      <c r="BI29" s="44" t="s">
        <v>287</v>
      </c>
      <c r="BJ29" s="44" t="s">
        <v>286</v>
      </c>
      <c r="BK29" s="44" t="s">
        <v>287</v>
      </c>
      <c r="BL29" s="44" t="s">
        <v>286</v>
      </c>
      <c r="BM29" s="44" t="s">
        <v>287</v>
      </c>
      <c r="BN29" s="44" t="s">
        <v>286</v>
      </c>
      <c r="BO29" s="44" t="s">
        <v>287</v>
      </c>
      <c r="BP29" s="44" t="s">
        <v>286</v>
      </c>
      <c r="BQ29" s="44" t="s">
        <v>287</v>
      </c>
    </row>
    <row r="30" spans="1:69" x14ac:dyDescent="0.25">
      <c r="A30" s="25" t="s">
        <v>69</v>
      </c>
      <c r="B30" s="21">
        <v>1202</v>
      </c>
      <c r="C30" s="21">
        <v>3568</v>
      </c>
      <c r="D30" s="21">
        <v>514557</v>
      </c>
      <c r="E30" s="21">
        <v>1165361</v>
      </c>
      <c r="F30" s="21"/>
      <c r="G30" s="21"/>
      <c r="H30" s="21">
        <v>3117690</v>
      </c>
      <c r="I30" s="21">
        <v>8068494</v>
      </c>
      <c r="J30" s="21">
        <v>4572452</v>
      </c>
      <c r="K30" s="21">
        <v>11164174</v>
      </c>
      <c r="L30" s="21">
        <v>522858</v>
      </c>
      <c r="M30" s="21">
        <v>1144744</v>
      </c>
      <c r="N30" s="21">
        <v>281181</v>
      </c>
      <c r="O30" s="21">
        <v>740210</v>
      </c>
      <c r="P30" s="21">
        <v>609576</v>
      </c>
      <c r="Q30" s="21">
        <v>1679762</v>
      </c>
      <c r="R30" s="21">
        <v>26071</v>
      </c>
      <c r="S30" s="21">
        <v>30212</v>
      </c>
      <c r="T30" s="21">
        <v>12778</v>
      </c>
      <c r="U30" s="21">
        <v>12915</v>
      </c>
      <c r="V30" s="21"/>
      <c r="W30" s="21"/>
      <c r="X30" s="21">
        <v>549638</v>
      </c>
      <c r="Y30" s="21">
        <v>1537780</v>
      </c>
      <c r="Z30" s="21">
        <v>6006</v>
      </c>
      <c r="AA30" s="21">
        <v>15057</v>
      </c>
      <c r="AB30" s="21">
        <v>1796142</v>
      </c>
      <c r="AC30" s="21">
        <v>4656505</v>
      </c>
      <c r="AD30" s="21">
        <v>3387016</v>
      </c>
      <c r="AE30" s="21">
        <v>8559867</v>
      </c>
      <c r="AF30" s="21">
        <v>2061581</v>
      </c>
      <c r="AG30" s="21">
        <v>5617251</v>
      </c>
      <c r="AH30" s="21">
        <v>51099</v>
      </c>
      <c r="AI30" s="21">
        <v>104082</v>
      </c>
      <c r="AJ30" s="21">
        <v>309482</v>
      </c>
      <c r="AK30" s="21">
        <v>747677</v>
      </c>
      <c r="AL30" s="21">
        <v>2993</v>
      </c>
      <c r="AM30" s="21">
        <v>13473</v>
      </c>
      <c r="AN30" s="21">
        <v>982854</v>
      </c>
      <c r="AO30" s="21">
        <v>2803008</v>
      </c>
      <c r="AP30" s="21">
        <v>14403259.360999998</v>
      </c>
      <c r="AQ30" s="21">
        <v>38751481.245999999</v>
      </c>
      <c r="AR30" s="21">
        <v>20069985</v>
      </c>
      <c r="AS30" s="21">
        <v>55678507</v>
      </c>
      <c r="AT30" s="21">
        <v>10479518</v>
      </c>
      <c r="AU30" s="21">
        <v>27889908</v>
      </c>
      <c r="AV30" s="21"/>
      <c r="AW30" s="21">
        <v>10</v>
      </c>
      <c r="AX30" s="21">
        <v>2246906</v>
      </c>
      <c r="AY30" s="21">
        <v>5775182</v>
      </c>
      <c r="AZ30" s="21">
        <v>1949912</v>
      </c>
      <c r="BA30" s="21">
        <v>4693405</v>
      </c>
      <c r="BB30" s="21">
        <v>396270</v>
      </c>
      <c r="BC30" s="21">
        <v>1214322</v>
      </c>
      <c r="BD30" s="21">
        <v>556091</v>
      </c>
      <c r="BE30" s="21">
        <v>1410730</v>
      </c>
      <c r="BF30" s="21">
        <v>67</v>
      </c>
      <c r="BG30" s="21">
        <v>90</v>
      </c>
      <c r="BH30" s="21"/>
      <c r="BI30" s="21"/>
      <c r="BJ30" s="21">
        <v>1112947</v>
      </c>
      <c r="BK30" s="21">
        <v>2357869</v>
      </c>
      <c r="BL30" s="21">
        <v>14341063</v>
      </c>
      <c r="BM30" s="21">
        <v>42572531</v>
      </c>
      <c r="BN30" s="21">
        <v>266300</v>
      </c>
      <c r="BO30" s="21">
        <v>688064</v>
      </c>
      <c r="BP30" s="21">
        <f t="shared" ref="BP30:BP31" si="4">B30+D30+F30+H30+J30+L30+N30+P30+R30+T30+V30+X30+Z30+AB30+AD30+AF30+AH30+AJ30+AL30+AN30+AP30+AR30+AT30+AV30+AX30+AZ30+BB30+BD30+BF30+BH30+BJ30+BL30+BN30</f>
        <v>84627494.361000001</v>
      </c>
      <c r="BQ30" s="21">
        <f t="shared" ref="BQ30:BQ31" si="5">C30+E30+G30+I30+K30+M30+O30+Q30+S30+U30+W30+Y30+AA30+AC30+AE30+AG30+AI30+AK30+AM30+AO30+AQ30+AS30+AU30+AW30+AY30+BA30+BC30+BE30+BG30+BI30+BK30+BM30+BO30</f>
        <v>229096239.24599999</v>
      </c>
    </row>
    <row r="31" spans="1:69" x14ac:dyDescent="0.25">
      <c r="A31" s="25" t="s">
        <v>267</v>
      </c>
      <c r="B31" s="21">
        <v>-46029</v>
      </c>
      <c r="C31" s="21">
        <v>18424</v>
      </c>
      <c r="D31" s="21">
        <v>526373</v>
      </c>
      <c r="E31" s="21">
        <v>1293325</v>
      </c>
      <c r="F31" s="21"/>
      <c r="G31" s="21"/>
      <c r="H31" s="21">
        <v>2649079</v>
      </c>
      <c r="I31" s="21">
        <v>7170211</v>
      </c>
      <c r="J31" s="21">
        <v>3932790</v>
      </c>
      <c r="K31" s="21">
        <v>10732559</v>
      </c>
      <c r="L31" s="21">
        <v>611386</v>
      </c>
      <c r="M31" s="21">
        <v>1364129</v>
      </c>
      <c r="N31" s="21">
        <v>260511</v>
      </c>
      <c r="O31" s="21">
        <v>646052</v>
      </c>
      <c r="P31" s="21">
        <v>581799</v>
      </c>
      <c r="Q31" s="21">
        <v>1743122</v>
      </c>
      <c r="R31" s="21">
        <v>65568</v>
      </c>
      <c r="S31" s="21">
        <v>114395</v>
      </c>
      <c r="T31" s="21">
        <v>77380</v>
      </c>
      <c r="U31" s="21">
        <v>108813</v>
      </c>
      <c r="V31" s="21"/>
      <c r="W31" s="21"/>
      <c r="X31" s="21">
        <v>405614</v>
      </c>
      <c r="Y31" s="21">
        <v>1142199</v>
      </c>
      <c r="Z31" s="21">
        <v>1422</v>
      </c>
      <c r="AA31" s="21">
        <v>7918</v>
      </c>
      <c r="AB31" s="21">
        <v>1670312</v>
      </c>
      <c r="AC31" s="21">
        <v>3904943</v>
      </c>
      <c r="AD31" s="21">
        <v>3577670</v>
      </c>
      <c r="AE31" s="21">
        <v>9739918</v>
      </c>
      <c r="AF31" s="21">
        <v>1894753</v>
      </c>
      <c r="AG31" s="21">
        <v>5391007</v>
      </c>
      <c r="AH31" s="21">
        <v>49289</v>
      </c>
      <c r="AI31" s="21">
        <v>116844</v>
      </c>
      <c r="AJ31" s="21">
        <v>331993</v>
      </c>
      <c r="AK31" s="21">
        <v>820025</v>
      </c>
      <c r="AL31" s="21">
        <v>10351</v>
      </c>
      <c r="AM31" s="21">
        <v>20578</v>
      </c>
      <c r="AN31" s="21">
        <v>850366</v>
      </c>
      <c r="AO31" s="21">
        <v>2598047</v>
      </c>
      <c r="AP31" s="21">
        <v>8762475.9099999964</v>
      </c>
      <c r="AQ31" s="21">
        <v>27122261.233999997</v>
      </c>
      <c r="AR31" s="21">
        <v>16893612</v>
      </c>
      <c r="AS31" s="21">
        <v>49936477</v>
      </c>
      <c r="AT31" s="21">
        <v>10823076</v>
      </c>
      <c r="AU31" s="21">
        <v>29299779</v>
      </c>
      <c r="AV31" s="21">
        <v>39</v>
      </c>
      <c r="AW31" s="21">
        <v>165</v>
      </c>
      <c r="AX31" s="21">
        <v>2122020</v>
      </c>
      <c r="AY31" s="21">
        <v>5903051</v>
      </c>
      <c r="AZ31" s="21">
        <v>1681360</v>
      </c>
      <c r="BA31" s="21">
        <v>4206024</v>
      </c>
      <c r="BB31" s="21">
        <v>421463</v>
      </c>
      <c r="BC31" s="21">
        <v>1176757</v>
      </c>
      <c r="BD31" s="21">
        <v>700684</v>
      </c>
      <c r="BE31" s="21">
        <v>2020340</v>
      </c>
      <c r="BF31" s="21">
        <v>1415</v>
      </c>
      <c r="BG31" s="21">
        <v>2576</v>
      </c>
      <c r="BH31" s="21"/>
      <c r="BI31" s="21"/>
      <c r="BJ31" s="21">
        <v>1266374</v>
      </c>
      <c r="BK31" s="21">
        <v>2798449</v>
      </c>
      <c r="BL31" s="21">
        <v>13055846</v>
      </c>
      <c r="BM31" s="21">
        <v>40427497</v>
      </c>
      <c r="BN31" s="21">
        <v>257242</v>
      </c>
      <c r="BO31" s="21">
        <v>671839</v>
      </c>
      <c r="BP31" s="21">
        <f t="shared" si="4"/>
        <v>73436233.909999996</v>
      </c>
      <c r="BQ31" s="21">
        <f t="shared" si="5"/>
        <v>210497724.234</v>
      </c>
    </row>
    <row r="33" spans="1:69" x14ac:dyDescent="0.25">
      <c r="A33" s="7" t="s">
        <v>158</v>
      </c>
    </row>
    <row r="34" spans="1:69" s="15" customFormat="1" x14ac:dyDescent="0.25">
      <c r="A34" s="23" t="s">
        <v>0</v>
      </c>
      <c r="B34" s="110" t="s">
        <v>1</v>
      </c>
      <c r="C34" s="110"/>
      <c r="D34" s="110" t="s">
        <v>2</v>
      </c>
      <c r="E34" s="110"/>
      <c r="F34" s="110" t="s">
        <v>3</v>
      </c>
      <c r="G34" s="110"/>
      <c r="H34" s="110" t="s">
        <v>4</v>
      </c>
      <c r="I34" s="110"/>
      <c r="J34" s="110" t="s">
        <v>5</v>
      </c>
      <c r="K34" s="110"/>
      <c r="L34" s="110" t="s">
        <v>6</v>
      </c>
      <c r="M34" s="110"/>
      <c r="N34" s="110" t="s">
        <v>7</v>
      </c>
      <c r="O34" s="110"/>
      <c r="P34" s="110" t="s">
        <v>8</v>
      </c>
      <c r="Q34" s="110"/>
      <c r="R34" s="110" t="s">
        <v>9</v>
      </c>
      <c r="S34" s="110"/>
      <c r="T34" s="110" t="s">
        <v>10</v>
      </c>
      <c r="U34" s="110"/>
      <c r="V34" s="110" t="s">
        <v>11</v>
      </c>
      <c r="W34" s="110"/>
      <c r="X34" s="110" t="s">
        <v>12</v>
      </c>
      <c r="Y34" s="110"/>
      <c r="Z34" s="110" t="s">
        <v>13</v>
      </c>
      <c r="AA34" s="110"/>
      <c r="AB34" s="110" t="s">
        <v>14</v>
      </c>
      <c r="AC34" s="110"/>
      <c r="AD34" s="110" t="s">
        <v>15</v>
      </c>
      <c r="AE34" s="110"/>
      <c r="AF34" s="110" t="s">
        <v>16</v>
      </c>
      <c r="AG34" s="110"/>
      <c r="AH34" s="110" t="s">
        <v>17</v>
      </c>
      <c r="AI34" s="110"/>
      <c r="AJ34" s="110" t="s">
        <v>18</v>
      </c>
      <c r="AK34" s="110"/>
      <c r="AL34" s="110" t="s">
        <v>19</v>
      </c>
      <c r="AM34" s="110"/>
      <c r="AN34" s="110" t="s">
        <v>20</v>
      </c>
      <c r="AO34" s="110"/>
      <c r="AP34" s="110" t="s">
        <v>21</v>
      </c>
      <c r="AQ34" s="110"/>
      <c r="AR34" s="110" t="s">
        <v>161</v>
      </c>
      <c r="AS34" s="110"/>
      <c r="AT34" s="110" t="s">
        <v>162</v>
      </c>
      <c r="AU34" s="110"/>
      <c r="AV34" s="110" t="s">
        <v>22</v>
      </c>
      <c r="AW34" s="110"/>
      <c r="AX34" s="110" t="s">
        <v>23</v>
      </c>
      <c r="AY34" s="110"/>
      <c r="AZ34" s="110" t="s">
        <v>24</v>
      </c>
      <c r="BA34" s="110"/>
      <c r="BB34" s="110" t="s">
        <v>25</v>
      </c>
      <c r="BC34" s="110"/>
      <c r="BD34" s="110" t="s">
        <v>26</v>
      </c>
      <c r="BE34" s="110"/>
      <c r="BF34" s="110" t="s">
        <v>27</v>
      </c>
      <c r="BG34" s="110"/>
      <c r="BH34" s="110" t="s">
        <v>28</v>
      </c>
      <c r="BI34" s="110"/>
      <c r="BJ34" s="110" t="s">
        <v>29</v>
      </c>
      <c r="BK34" s="110"/>
      <c r="BL34" s="110" t="s">
        <v>30</v>
      </c>
      <c r="BM34" s="110"/>
      <c r="BN34" s="110" t="s">
        <v>31</v>
      </c>
      <c r="BO34" s="110"/>
      <c r="BP34" s="110" t="s">
        <v>304</v>
      </c>
      <c r="BQ34" s="110"/>
    </row>
    <row r="35" spans="1:69" s="43" customFormat="1" ht="44.25" customHeight="1" x14ac:dyDescent="0.25">
      <c r="A35" s="44"/>
      <c r="B35" s="44" t="s">
        <v>286</v>
      </c>
      <c r="C35" s="44" t="s">
        <v>287</v>
      </c>
      <c r="D35" s="44" t="s">
        <v>286</v>
      </c>
      <c r="E35" s="44" t="s">
        <v>287</v>
      </c>
      <c r="F35" s="44" t="s">
        <v>286</v>
      </c>
      <c r="G35" s="44" t="s">
        <v>287</v>
      </c>
      <c r="H35" s="44" t="s">
        <v>286</v>
      </c>
      <c r="I35" s="44" t="s">
        <v>287</v>
      </c>
      <c r="J35" s="44" t="s">
        <v>286</v>
      </c>
      <c r="K35" s="44" t="s">
        <v>287</v>
      </c>
      <c r="L35" s="44" t="s">
        <v>286</v>
      </c>
      <c r="M35" s="44" t="s">
        <v>287</v>
      </c>
      <c r="N35" s="44" t="s">
        <v>286</v>
      </c>
      <c r="O35" s="44" t="s">
        <v>287</v>
      </c>
      <c r="P35" s="44" t="s">
        <v>286</v>
      </c>
      <c r="Q35" s="44" t="s">
        <v>287</v>
      </c>
      <c r="R35" s="44" t="s">
        <v>286</v>
      </c>
      <c r="S35" s="44" t="s">
        <v>287</v>
      </c>
      <c r="T35" s="44" t="s">
        <v>286</v>
      </c>
      <c r="U35" s="44" t="s">
        <v>287</v>
      </c>
      <c r="V35" s="44" t="s">
        <v>286</v>
      </c>
      <c r="W35" s="44" t="s">
        <v>287</v>
      </c>
      <c r="X35" s="44" t="s">
        <v>286</v>
      </c>
      <c r="Y35" s="44" t="s">
        <v>287</v>
      </c>
      <c r="Z35" s="44" t="s">
        <v>286</v>
      </c>
      <c r="AA35" s="44" t="s">
        <v>287</v>
      </c>
      <c r="AB35" s="44" t="s">
        <v>286</v>
      </c>
      <c r="AC35" s="44" t="s">
        <v>287</v>
      </c>
      <c r="AD35" s="44" t="s">
        <v>286</v>
      </c>
      <c r="AE35" s="44" t="s">
        <v>287</v>
      </c>
      <c r="AF35" s="44" t="s">
        <v>286</v>
      </c>
      <c r="AG35" s="44" t="s">
        <v>287</v>
      </c>
      <c r="AH35" s="44" t="s">
        <v>286</v>
      </c>
      <c r="AI35" s="44" t="s">
        <v>287</v>
      </c>
      <c r="AJ35" s="44" t="s">
        <v>286</v>
      </c>
      <c r="AK35" s="44" t="s">
        <v>287</v>
      </c>
      <c r="AL35" s="44" t="s">
        <v>286</v>
      </c>
      <c r="AM35" s="44" t="s">
        <v>287</v>
      </c>
      <c r="AN35" s="44" t="s">
        <v>286</v>
      </c>
      <c r="AO35" s="44" t="s">
        <v>287</v>
      </c>
      <c r="AP35" s="44" t="s">
        <v>286</v>
      </c>
      <c r="AQ35" s="44" t="s">
        <v>287</v>
      </c>
      <c r="AR35" s="44" t="s">
        <v>286</v>
      </c>
      <c r="AS35" s="44" t="s">
        <v>287</v>
      </c>
      <c r="AT35" s="44" t="s">
        <v>286</v>
      </c>
      <c r="AU35" s="44" t="s">
        <v>287</v>
      </c>
      <c r="AV35" s="44" t="s">
        <v>286</v>
      </c>
      <c r="AW35" s="44" t="s">
        <v>287</v>
      </c>
      <c r="AX35" s="44" t="s">
        <v>286</v>
      </c>
      <c r="AY35" s="44" t="s">
        <v>287</v>
      </c>
      <c r="AZ35" s="44" t="s">
        <v>286</v>
      </c>
      <c r="BA35" s="44" t="s">
        <v>287</v>
      </c>
      <c r="BB35" s="44" t="s">
        <v>286</v>
      </c>
      <c r="BC35" s="44" t="s">
        <v>287</v>
      </c>
      <c r="BD35" s="44" t="s">
        <v>286</v>
      </c>
      <c r="BE35" s="44" t="s">
        <v>287</v>
      </c>
      <c r="BF35" s="44" t="s">
        <v>286</v>
      </c>
      <c r="BG35" s="44" t="s">
        <v>287</v>
      </c>
      <c r="BH35" s="44" t="s">
        <v>286</v>
      </c>
      <c r="BI35" s="44" t="s">
        <v>287</v>
      </c>
      <c r="BJ35" s="44" t="s">
        <v>286</v>
      </c>
      <c r="BK35" s="44" t="s">
        <v>287</v>
      </c>
      <c r="BL35" s="44" t="s">
        <v>286</v>
      </c>
      <c r="BM35" s="44" t="s">
        <v>287</v>
      </c>
      <c r="BN35" s="44" t="s">
        <v>286</v>
      </c>
      <c r="BO35" s="44" t="s">
        <v>287</v>
      </c>
      <c r="BP35" s="44" t="s">
        <v>286</v>
      </c>
      <c r="BQ35" s="44" t="s">
        <v>287</v>
      </c>
    </row>
    <row r="36" spans="1:69" x14ac:dyDescent="0.25">
      <c r="A36" s="25" t="s">
        <v>69</v>
      </c>
      <c r="B36" s="21"/>
      <c r="C36" s="21"/>
      <c r="D36" s="21">
        <v>2986</v>
      </c>
      <c r="E36" s="21">
        <v>15834</v>
      </c>
      <c r="F36" s="21"/>
      <c r="G36" s="21"/>
      <c r="H36" s="21">
        <v>69524</v>
      </c>
      <c r="I36" s="21">
        <v>165941</v>
      </c>
      <c r="J36" s="21">
        <v>236725</v>
      </c>
      <c r="K36" s="21">
        <v>599117</v>
      </c>
      <c r="L36" s="21">
        <v>22215</v>
      </c>
      <c r="M36" s="21">
        <v>86458</v>
      </c>
      <c r="N36" s="21">
        <v>168463</v>
      </c>
      <c r="O36" s="21">
        <v>451007</v>
      </c>
      <c r="P36" s="21">
        <v>3734</v>
      </c>
      <c r="Q36" s="21">
        <v>6779</v>
      </c>
      <c r="R36" s="21">
        <v>500</v>
      </c>
      <c r="S36" s="21">
        <v>10107</v>
      </c>
      <c r="T36" s="21"/>
      <c r="U36" s="21"/>
      <c r="V36" s="21"/>
      <c r="W36" s="21"/>
      <c r="X36" s="21">
        <v>67886</v>
      </c>
      <c r="Y36" s="21">
        <v>288797</v>
      </c>
      <c r="Z36" s="21"/>
      <c r="AA36" s="21"/>
      <c r="AB36" s="21">
        <v>315957</v>
      </c>
      <c r="AC36" s="21">
        <v>1162313</v>
      </c>
      <c r="AD36" s="21">
        <v>218952</v>
      </c>
      <c r="AE36" s="21">
        <v>740936</v>
      </c>
      <c r="AF36" s="21">
        <v>200390</v>
      </c>
      <c r="AG36" s="21">
        <v>530733</v>
      </c>
      <c r="AH36" s="21">
        <v>2633</v>
      </c>
      <c r="AI36" s="21">
        <v>7353</v>
      </c>
      <c r="AJ36" s="21">
        <v>29288</v>
      </c>
      <c r="AK36" s="21">
        <v>73188</v>
      </c>
      <c r="AL36" s="21">
        <v>2477</v>
      </c>
      <c r="AM36" s="21">
        <v>6421</v>
      </c>
      <c r="AN36" s="21">
        <v>5356</v>
      </c>
      <c r="AO36" s="21">
        <v>8405</v>
      </c>
      <c r="AP36" s="21">
        <v>528456.8899999999</v>
      </c>
      <c r="AQ36" s="21">
        <v>2039382.41</v>
      </c>
      <c r="AR36" s="21">
        <v>1652388</v>
      </c>
      <c r="AS36" s="21">
        <v>4572572</v>
      </c>
      <c r="AT36" s="21">
        <v>1357944</v>
      </c>
      <c r="AU36" s="21">
        <v>3520195</v>
      </c>
      <c r="AV36" s="21">
        <v>16</v>
      </c>
      <c r="AW36" s="21">
        <v>27</v>
      </c>
      <c r="AX36" s="21">
        <v>64088</v>
      </c>
      <c r="AY36" s="21">
        <v>168348</v>
      </c>
      <c r="AZ36" s="21">
        <v>25710</v>
      </c>
      <c r="BA36" s="21">
        <v>80449</v>
      </c>
      <c r="BB36" s="21">
        <v>54723</v>
      </c>
      <c r="BC36" s="21">
        <v>178002</v>
      </c>
      <c r="BD36" s="21">
        <v>501020</v>
      </c>
      <c r="BE36" s="21">
        <v>1379329</v>
      </c>
      <c r="BF36" s="21">
        <v>13782</v>
      </c>
      <c r="BG36" s="21">
        <v>42304</v>
      </c>
      <c r="BH36" s="21"/>
      <c r="BI36" s="21"/>
      <c r="BJ36" s="21">
        <v>167026</v>
      </c>
      <c r="BK36" s="21">
        <v>600985</v>
      </c>
      <c r="BL36" s="21">
        <v>458253</v>
      </c>
      <c r="BM36" s="21">
        <v>1452766</v>
      </c>
      <c r="BN36" s="21">
        <v>80810</v>
      </c>
      <c r="BO36" s="21">
        <v>252766</v>
      </c>
      <c r="BP36" s="21">
        <f t="shared" ref="BP36:BP37" si="6">B36+D36+F36+H36+J36+L36+N36+P36+R36+T36+V36+X36+Z36+AB36+AD36+AF36+AH36+AJ36+AL36+AN36+AP36+AR36+AT36+AV36+AX36+AZ36+BB36+BD36+BF36+BH36+BJ36+BL36+BN36</f>
        <v>6251302.8899999997</v>
      </c>
      <c r="BQ36" s="21">
        <f t="shared" ref="BQ36:BQ37" si="7">C36+E36+G36+I36+K36+M36+O36+Q36+S36+U36+W36+Y36+AA36+AC36+AE36+AG36+AI36+AK36+AM36+AO36+AQ36+AS36+AU36+AW36+AY36+BA36+BC36+BE36+BG36+BI36+BK36+BM36+BO36</f>
        <v>18440514.41</v>
      </c>
    </row>
    <row r="37" spans="1:69" x14ac:dyDescent="0.25">
      <c r="A37" s="25" t="s">
        <v>267</v>
      </c>
      <c r="B37" s="21">
        <v>4382</v>
      </c>
      <c r="C37" s="21">
        <v>4406</v>
      </c>
      <c r="D37" s="21">
        <v>22717</v>
      </c>
      <c r="E37" s="21">
        <v>67582</v>
      </c>
      <c r="F37" s="21"/>
      <c r="G37" s="21"/>
      <c r="H37" s="21">
        <v>37380</v>
      </c>
      <c r="I37" s="21">
        <v>139745</v>
      </c>
      <c r="J37" s="21">
        <v>152293</v>
      </c>
      <c r="K37" s="21">
        <v>670008</v>
      </c>
      <c r="L37" s="21">
        <v>40282</v>
      </c>
      <c r="M37" s="21">
        <v>101666</v>
      </c>
      <c r="N37" s="21">
        <v>159810</v>
      </c>
      <c r="O37" s="21">
        <v>418737</v>
      </c>
      <c r="P37" s="21">
        <v>9781</v>
      </c>
      <c r="Q37" s="21">
        <v>20929</v>
      </c>
      <c r="R37" s="21">
        <v>-4067</v>
      </c>
      <c r="S37" s="21">
        <v>12874</v>
      </c>
      <c r="T37" s="21">
        <v>6327</v>
      </c>
      <c r="U37" s="21">
        <v>14899</v>
      </c>
      <c r="V37" s="21"/>
      <c r="W37" s="21"/>
      <c r="X37" s="21">
        <v>33820</v>
      </c>
      <c r="Y37" s="21">
        <v>95889</v>
      </c>
      <c r="Z37" s="21"/>
      <c r="AA37" s="21"/>
      <c r="AB37" s="21">
        <v>419507</v>
      </c>
      <c r="AC37" s="21">
        <v>1123918</v>
      </c>
      <c r="AD37" s="21">
        <v>123639</v>
      </c>
      <c r="AE37" s="21">
        <v>880965</v>
      </c>
      <c r="AF37" s="21">
        <v>490267</v>
      </c>
      <c r="AG37" s="21">
        <v>1063597</v>
      </c>
      <c r="AH37" s="21">
        <v>-1575</v>
      </c>
      <c r="AI37" s="21">
        <v>1916</v>
      </c>
      <c r="AJ37" s="21">
        <v>30545</v>
      </c>
      <c r="AK37" s="21">
        <v>62585</v>
      </c>
      <c r="AL37" s="21">
        <v>19127</v>
      </c>
      <c r="AM37" s="21">
        <v>33672</v>
      </c>
      <c r="AN37" s="21">
        <v>17312</v>
      </c>
      <c r="AO37" s="21">
        <v>41114</v>
      </c>
      <c r="AP37" s="21">
        <v>502034.04499999993</v>
      </c>
      <c r="AQ37" s="21">
        <v>1931720.0889999999</v>
      </c>
      <c r="AR37" s="21">
        <v>1719387</v>
      </c>
      <c r="AS37" s="21">
        <v>5220988</v>
      </c>
      <c r="AT37" s="21">
        <v>1352267</v>
      </c>
      <c r="AU37" s="21">
        <v>4427021</v>
      </c>
      <c r="AV37" s="21">
        <v>54</v>
      </c>
      <c r="AW37" s="21">
        <v>121</v>
      </c>
      <c r="AX37" s="21">
        <v>41749</v>
      </c>
      <c r="AY37" s="21">
        <v>103663</v>
      </c>
      <c r="AZ37" s="21">
        <v>36395</v>
      </c>
      <c r="BA37" s="21">
        <v>132506</v>
      </c>
      <c r="BB37" s="21">
        <v>42493</v>
      </c>
      <c r="BC37" s="21">
        <v>145067</v>
      </c>
      <c r="BD37" s="21">
        <v>615065</v>
      </c>
      <c r="BE37" s="21">
        <v>1697772</v>
      </c>
      <c r="BF37" s="21">
        <v>9561</v>
      </c>
      <c r="BG37" s="21">
        <v>13446</v>
      </c>
      <c r="BH37" s="21"/>
      <c r="BI37" s="21"/>
      <c r="BJ37" s="21">
        <v>143715</v>
      </c>
      <c r="BK37" s="21">
        <v>611372</v>
      </c>
      <c r="BL37" s="21">
        <v>458839</v>
      </c>
      <c r="BM37" s="21">
        <v>1379810</v>
      </c>
      <c r="BN37" s="21">
        <v>74547</v>
      </c>
      <c r="BO37" s="21">
        <v>182011</v>
      </c>
      <c r="BP37" s="21">
        <f t="shared" si="6"/>
        <v>6557653.0449999999</v>
      </c>
      <c r="BQ37" s="21">
        <f t="shared" si="7"/>
        <v>20599999.089000002</v>
      </c>
    </row>
    <row r="39" spans="1:69" x14ac:dyDescent="0.25">
      <c r="A39" s="7" t="s">
        <v>230</v>
      </c>
    </row>
    <row r="40" spans="1:69" s="15" customFormat="1" x14ac:dyDescent="0.25">
      <c r="A40" s="23" t="s">
        <v>0</v>
      </c>
      <c r="B40" s="110" t="s">
        <v>1</v>
      </c>
      <c r="C40" s="110"/>
      <c r="D40" s="110" t="s">
        <v>2</v>
      </c>
      <c r="E40" s="110"/>
      <c r="F40" s="110" t="s">
        <v>3</v>
      </c>
      <c r="G40" s="110"/>
      <c r="H40" s="110" t="s">
        <v>4</v>
      </c>
      <c r="I40" s="110"/>
      <c r="J40" s="110" t="s">
        <v>5</v>
      </c>
      <c r="K40" s="110"/>
      <c r="L40" s="110" t="s">
        <v>6</v>
      </c>
      <c r="M40" s="110"/>
      <c r="N40" s="110" t="s">
        <v>7</v>
      </c>
      <c r="O40" s="110"/>
      <c r="P40" s="110" t="s">
        <v>8</v>
      </c>
      <c r="Q40" s="110"/>
      <c r="R40" s="110" t="s">
        <v>9</v>
      </c>
      <c r="S40" s="110"/>
      <c r="T40" s="110" t="s">
        <v>10</v>
      </c>
      <c r="U40" s="110"/>
      <c r="V40" s="110" t="s">
        <v>11</v>
      </c>
      <c r="W40" s="110"/>
      <c r="X40" s="110" t="s">
        <v>12</v>
      </c>
      <c r="Y40" s="110"/>
      <c r="Z40" s="110" t="s">
        <v>13</v>
      </c>
      <c r="AA40" s="110"/>
      <c r="AB40" s="110" t="s">
        <v>14</v>
      </c>
      <c r="AC40" s="110"/>
      <c r="AD40" s="110" t="s">
        <v>15</v>
      </c>
      <c r="AE40" s="110"/>
      <c r="AF40" s="110" t="s">
        <v>16</v>
      </c>
      <c r="AG40" s="110"/>
      <c r="AH40" s="110" t="s">
        <v>17</v>
      </c>
      <c r="AI40" s="110"/>
      <c r="AJ40" s="110" t="s">
        <v>18</v>
      </c>
      <c r="AK40" s="110"/>
      <c r="AL40" s="110" t="s">
        <v>19</v>
      </c>
      <c r="AM40" s="110"/>
      <c r="AN40" s="110" t="s">
        <v>20</v>
      </c>
      <c r="AO40" s="110"/>
      <c r="AP40" s="110" t="s">
        <v>21</v>
      </c>
      <c r="AQ40" s="110"/>
      <c r="AR40" s="110" t="s">
        <v>161</v>
      </c>
      <c r="AS40" s="110"/>
      <c r="AT40" s="110" t="s">
        <v>162</v>
      </c>
      <c r="AU40" s="110"/>
      <c r="AV40" s="110" t="s">
        <v>22</v>
      </c>
      <c r="AW40" s="110"/>
      <c r="AX40" s="110" t="s">
        <v>23</v>
      </c>
      <c r="AY40" s="110"/>
      <c r="AZ40" s="110" t="s">
        <v>24</v>
      </c>
      <c r="BA40" s="110"/>
      <c r="BB40" s="110" t="s">
        <v>25</v>
      </c>
      <c r="BC40" s="110"/>
      <c r="BD40" s="110" t="s">
        <v>26</v>
      </c>
      <c r="BE40" s="110"/>
      <c r="BF40" s="110" t="s">
        <v>27</v>
      </c>
      <c r="BG40" s="110"/>
      <c r="BH40" s="110" t="s">
        <v>28</v>
      </c>
      <c r="BI40" s="110"/>
      <c r="BJ40" s="110" t="s">
        <v>29</v>
      </c>
      <c r="BK40" s="110"/>
      <c r="BL40" s="110" t="s">
        <v>30</v>
      </c>
      <c r="BM40" s="110"/>
      <c r="BN40" s="110" t="s">
        <v>31</v>
      </c>
      <c r="BO40" s="110"/>
      <c r="BP40" s="110" t="s">
        <v>304</v>
      </c>
      <c r="BQ40" s="110"/>
    </row>
    <row r="41" spans="1:69" s="43" customFormat="1" ht="44.25" customHeight="1" x14ac:dyDescent="0.25">
      <c r="A41" s="44"/>
      <c r="B41" s="44" t="s">
        <v>286</v>
      </c>
      <c r="C41" s="44" t="s">
        <v>287</v>
      </c>
      <c r="D41" s="44" t="s">
        <v>286</v>
      </c>
      <c r="E41" s="44" t="s">
        <v>287</v>
      </c>
      <c r="F41" s="44" t="s">
        <v>286</v>
      </c>
      <c r="G41" s="44" t="s">
        <v>287</v>
      </c>
      <c r="H41" s="44" t="s">
        <v>286</v>
      </c>
      <c r="I41" s="44" t="s">
        <v>287</v>
      </c>
      <c r="J41" s="44" t="s">
        <v>286</v>
      </c>
      <c r="K41" s="44" t="s">
        <v>287</v>
      </c>
      <c r="L41" s="44" t="s">
        <v>286</v>
      </c>
      <c r="M41" s="44" t="s">
        <v>287</v>
      </c>
      <c r="N41" s="44" t="s">
        <v>286</v>
      </c>
      <c r="O41" s="44" t="s">
        <v>287</v>
      </c>
      <c r="P41" s="44" t="s">
        <v>286</v>
      </c>
      <c r="Q41" s="44" t="s">
        <v>287</v>
      </c>
      <c r="R41" s="44" t="s">
        <v>286</v>
      </c>
      <c r="S41" s="44" t="s">
        <v>287</v>
      </c>
      <c r="T41" s="44" t="s">
        <v>286</v>
      </c>
      <c r="U41" s="44" t="s">
        <v>287</v>
      </c>
      <c r="V41" s="44" t="s">
        <v>286</v>
      </c>
      <c r="W41" s="44" t="s">
        <v>287</v>
      </c>
      <c r="X41" s="44" t="s">
        <v>286</v>
      </c>
      <c r="Y41" s="44" t="s">
        <v>287</v>
      </c>
      <c r="Z41" s="44" t="s">
        <v>286</v>
      </c>
      <c r="AA41" s="44" t="s">
        <v>287</v>
      </c>
      <c r="AB41" s="44" t="s">
        <v>286</v>
      </c>
      <c r="AC41" s="44" t="s">
        <v>287</v>
      </c>
      <c r="AD41" s="44" t="s">
        <v>286</v>
      </c>
      <c r="AE41" s="44" t="s">
        <v>287</v>
      </c>
      <c r="AF41" s="44" t="s">
        <v>286</v>
      </c>
      <c r="AG41" s="44" t="s">
        <v>287</v>
      </c>
      <c r="AH41" s="44" t="s">
        <v>286</v>
      </c>
      <c r="AI41" s="44" t="s">
        <v>287</v>
      </c>
      <c r="AJ41" s="44" t="s">
        <v>286</v>
      </c>
      <c r="AK41" s="44" t="s">
        <v>287</v>
      </c>
      <c r="AL41" s="44" t="s">
        <v>286</v>
      </c>
      <c r="AM41" s="44" t="s">
        <v>287</v>
      </c>
      <c r="AN41" s="44" t="s">
        <v>286</v>
      </c>
      <c r="AO41" s="44" t="s">
        <v>287</v>
      </c>
      <c r="AP41" s="44" t="s">
        <v>286</v>
      </c>
      <c r="AQ41" s="44" t="s">
        <v>287</v>
      </c>
      <c r="AR41" s="44" t="s">
        <v>286</v>
      </c>
      <c r="AS41" s="44" t="s">
        <v>287</v>
      </c>
      <c r="AT41" s="44" t="s">
        <v>286</v>
      </c>
      <c r="AU41" s="44" t="s">
        <v>287</v>
      </c>
      <c r="AV41" s="44" t="s">
        <v>286</v>
      </c>
      <c r="AW41" s="44" t="s">
        <v>287</v>
      </c>
      <c r="AX41" s="44" t="s">
        <v>286</v>
      </c>
      <c r="AY41" s="44" t="s">
        <v>287</v>
      </c>
      <c r="AZ41" s="44" t="s">
        <v>286</v>
      </c>
      <c r="BA41" s="44" t="s">
        <v>287</v>
      </c>
      <c r="BB41" s="44" t="s">
        <v>286</v>
      </c>
      <c r="BC41" s="44" t="s">
        <v>287</v>
      </c>
      <c r="BD41" s="44" t="s">
        <v>286</v>
      </c>
      <c r="BE41" s="44" t="s">
        <v>287</v>
      </c>
      <c r="BF41" s="44" t="s">
        <v>286</v>
      </c>
      <c r="BG41" s="44" t="s">
        <v>287</v>
      </c>
      <c r="BH41" s="44" t="s">
        <v>286</v>
      </c>
      <c r="BI41" s="44" t="s">
        <v>287</v>
      </c>
      <c r="BJ41" s="44" t="s">
        <v>286</v>
      </c>
      <c r="BK41" s="44" t="s">
        <v>287</v>
      </c>
      <c r="BL41" s="44" t="s">
        <v>286</v>
      </c>
      <c r="BM41" s="44" t="s">
        <v>287</v>
      </c>
      <c r="BN41" s="44" t="s">
        <v>286</v>
      </c>
      <c r="BO41" s="44" t="s">
        <v>287</v>
      </c>
      <c r="BP41" s="44" t="s">
        <v>286</v>
      </c>
      <c r="BQ41" s="44" t="s">
        <v>287</v>
      </c>
    </row>
    <row r="42" spans="1:69" x14ac:dyDescent="0.25">
      <c r="A42" s="25" t="s">
        <v>69</v>
      </c>
      <c r="B42" s="21">
        <v>13549</v>
      </c>
      <c r="C42" s="21">
        <v>13602</v>
      </c>
      <c r="D42" s="21"/>
      <c r="E42" s="21"/>
      <c r="F42" s="21"/>
      <c r="G42" s="21"/>
      <c r="H42" s="21"/>
      <c r="I42" s="21"/>
      <c r="J42" s="21">
        <v>19610</v>
      </c>
      <c r="K42" s="21">
        <v>82732</v>
      </c>
      <c r="L42" s="21">
        <v>11126</v>
      </c>
      <c r="M42" s="21">
        <v>29941</v>
      </c>
      <c r="N42" s="21">
        <v>8656</v>
      </c>
      <c r="O42" s="21">
        <v>25005</v>
      </c>
      <c r="P42" s="21"/>
      <c r="Q42" s="21"/>
      <c r="R42" s="21"/>
      <c r="S42" s="21"/>
      <c r="T42" s="21"/>
      <c r="U42" s="21"/>
      <c r="V42" s="21"/>
      <c r="W42" s="21"/>
      <c r="X42" s="21">
        <v>209</v>
      </c>
      <c r="Y42" s="21">
        <v>1787</v>
      </c>
      <c r="Z42" s="21"/>
      <c r="AA42" s="21"/>
      <c r="AB42" s="21">
        <v>1079051</v>
      </c>
      <c r="AC42" s="21">
        <v>1113452</v>
      </c>
      <c r="AD42" s="21">
        <v>11848</v>
      </c>
      <c r="AE42" s="21">
        <v>177304</v>
      </c>
      <c r="AF42" s="21">
        <v>3683</v>
      </c>
      <c r="AG42" s="21">
        <v>17250</v>
      </c>
      <c r="AH42" s="21"/>
      <c r="AI42" s="21"/>
      <c r="AJ42" s="21">
        <v>0</v>
      </c>
      <c r="AK42" s="21">
        <v>24</v>
      </c>
      <c r="AL42" s="21">
        <v>113</v>
      </c>
      <c r="AM42" s="21">
        <v>116</v>
      </c>
      <c r="AN42" s="21"/>
      <c r="AO42" s="21"/>
      <c r="AP42" s="21">
        <f>27860+9060.134</f>
        <v>36920.133999999998</v>
      </c>
      <c r="AQ42" s="21">
        <f>90385+21868.993</f>
        <v>112253.993</v>
      </c>
      <c r="AR42" s="21">
        <v>53696</v>
      </c>
      <c r="AS42" s="21">
        <v>202011</v>
      </c>
      <c r="AT42" s="21">
        <v>31945</v>
      </c>
      <c r="AU42" s="21">
        <v>63651</v>
      </c>
      <c r="AV42" s="21">
        <v>2181</v>
      </c>
      <c r="AW42" s="21">
        <v>9543</v>
      </c>
      <c r="AX42" s="21">
        <v>13021</v>
      </c>
      <c r="AY42" s="21">
        <v>35839</v>
      </c>
      <c r="AZ42" s="21"/>
      <c r="BA42" s="21"/>
      <c r="BB42" s="21">
        <v>590</v>
      </c>
      <c r="BC42" s="21">
        <v>1843</v>
      </c>
      <c r="BD42" s="21"/>
      <c r="BE42" s="21">
        <v>182</v>
      </c>
      <c r="BF42" s="21">
        <v>0</v>
      </c>
      <c r="BG42" s="21">
        <v>0</v>
      </c>
      <c r="BH42" s="21"/>
      <c r="BI42" s="21"/>
      <c r="BJ42" s="21">
        <v>66797</v>
      </c>
      <c r="BK42" s="21">
        <v>520154</v>
      </c>
      <c r="BL42" s="21">
        <v>44170</v>
      </c>
      <c r="BM42" s="21">
        <v>120755</v>
      </c>
      <c r="BN42" s="21">
        <v>83</v>
      </c>
      <c r="BO42" s="21">
        <v>236</v>
      </c>
      <c r="BP42" s="21">
        <f t="shared" ref="BP42:BP43" si="8">B42+D42+F42+H42+J42+L42+N42+P42+R42+T42+V42+X42+Z42+AB42+AD42+AF42+AH42+AJ42+AL42+AN42+AP42+AR42+AT42+AV42+AX42+AZ42+BB42+BD42+BF42+BH42+BJ42+BL42+BN42</f>
        <v>1397248.1340000001</v>
      </c>
      <c r="BQ42" s="21">
        <f t="shared" ref="BQ42:BQ43" si="9">C42+E42+G42+I42+K42+M42+O42+Q42+S42+U42+W42+Y42+AA42+AC42+AE42+AG42+AI42+AK42+AM42+AO42+AQ42+AS42+AU42+AW42+AY42+BA42+BC42+BE42+BG42+BI42+BK42+BM42+BO42</f>
        <v>2527680.9929999998</v>
      </c>
    </row>
    <row r="43" spans="1:69" x14ac:dyDescent="0.25">
      <c r="A43" s="25" t="s">
        <v>267</v>
      </c>
      <c r="B43" s="21">
        <v>17232</v>
      </c>
      <c r="C43" s="21">
        <v>18378</v>
      </c>
      <c r="D43" s="21"/>
      <c r="E43" s="21"/>
      <c r="F43" s="21"/>
      <c r="G43" s="21"/>
      <c r="H43" s="21"/>
      <c r="I43" s="21"/>
      <c r="J43" s="21">
        <v>-11228</v>
      </c>
      <c r="K43" s="21">
        <v>-30681</v>
      </c>
      <c r="L43" s="21">
        <v>-7752</v>
      </c>
      <c r="M43" s="21">
        <v>24031</v>
      </c>
      <c r="N43" s="21">
        <v>3731</v>
      </c>
      <c r="O43" s="21">
        <v>10546</v>
      </c>
      <c r="P43" s="21"/>
      <c r="Q43" s="21"/>
      <c r="R43" s="21"/>
      <c r="S43" s="21"/>
      <c r="T43" s="21"/>
      <c r="U43" s="21">
        <v>2</v>
      </c>
      <c r="V43" s="21"/>
      <c r="W43" s="21"/>
      <c r="X43" s="21">
        <v>3098</v>
      </c>
      <c r="Y43" s="21">
        <v>8024</v>
      </c>
      <c r="Z43" s="21"/>
      <c r="AA43" s="21"/>
      <c r="AB43" s="21">
        <f>1375+279+4587</f>
        <v>6241</v>
      </c>
      <c r="AC43" s="21">
        <f>-1952+70247-1388</f>
        <v>66907</v>
      </c>
      <c r="AD43" s="21">
        <v>1238</v>
      </c>
      <c r="AE43" s="21">
        <v>77239</v>
      </c>
      <c r="AF43" s="21">
        <v>-46549</v>
      </c>
      <c r="AG43" s="21">
        <v>21913</v>
      </c>
      <c r="AH43" s="21"/>
      <c r="AI43" s="21"/>
      <c r="AJ43" s="21">
        <v>72</v>
      </c>
      <c r="AK43" s="21">
        <v>2963</v>
      </c>
      <c r="AL43" s="21">
        <v>1134</v>
      </c>
      <c r="AM43" s="21">
        <v>-486</v>
      </c>
      <c r="AN43" s="21"/>
      <c r="AO43" s="21"/>
      <c r="AP43" s="21">
        <f>26377+8607.127</f>
        <v>34984.127</v>
      </c>
      <c r="AQ43" s="21">
        <f>85775+20775.543</f>
        <v>106550.54300000001</v>
      </c>
      <c r="AR43" s="21">
        <v>235252</v>
      </c>
      <c r="AS43" s="21">
        <v>557954</v>
      </c>
      <c r="AT43" s="21">
        <v>31213</v>
      </c>
      <c r="AU43" s="21">
        <v>60425</v>
      </c>
      <c r="AV43" s="21">
        <v>28259</v>
      </c>
      <c r="AW43" s="21">
        <v>101197</v>
      </c>
      <c r="AX43" s="21">
        <v>15733</v>
      </c>
      <c r="AY43" s="21">
        <v>64735</v>
      </c>
      <c r="AZ43" s="21"/>
      <c r="BA43" s="21"/>
      <c r="BB43" s="21">
        <v>4341</v>
      </c>
      <c r="BC43" s="21">
        <v>6166</v>
      </c>
      <c r="BD43" s="21">
        <v>1961</v>
      </c>
      <c r="BE43" s="21">
        <v>4074</v>
      </c>
      <c r="BF43" s="21">
        <v>80</v>
      </c>
      <c r="BG43" s="21">
        <v>775</v>
      </c>
      <c r="BH43" s="21"/>
      <c r="BI43" s="21"/>
      <c r="BJ43" s="21">
        <v>205210</v>
      </c>
      <c r="BK43" s="21">
        <v>575828</v>
      </c>
      <c r="BL43" s="21">
        <v>-61295</v>
      </c>
      <c r="BM43" s="21">
        <v>309895</v>
      </c>
      <c r="BN43" s="21">
        <v>13</v>
      </c>
      <c r="BO43" s="21">
        <v>588</v>
      </c>
      <c r="BP43" s="21">
        <f t="shared" si="8"/>
        <v>462968.12699999998</v>
      </c>
      <c r="BQ43" s="21">
        <f t="shared" si="9"/>
        <v>1987023.5430000001</v>
      </c>
    </row>
    <row r="44" spans="1:69" x14ac:dyDescent="0.25">
      <c r="A44" s="7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</row>
    <row r="45" spans="1:69" x14ac:dyDescent="0.25">
      <c r="A45" s="75" t="s">
        <v>306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</row>
    <row r="46" spans="1:69" s="15" customFormat="1" x14ac:dyDescent="0.25">
      <c r="A46" s="23" t="s">
        <v>0</v>
      </c>
      <c r="B46" s="110" t="s">
        <v>1</v>
      </c>
      <c r="C46" s="110"/>
      <c r="D46" s="110" t="s">
        <v>2</v>
      </c>
      <c r="E46" s="110"/>
      <c r="F46" s="110" t="s">
        <v>3</v>
      </c>
      <c r="G46" s="110"/>
      <c r="H46" s="110" t="s">
        <v>4</v>
      </c>
      <c r="I46" s="110"/>
      <c r="J46" s="110" t="s">
        <v>5</v>
      </c>
      <c r="K46" s="110"/>
      <c r="L46" s="110" t="s">
        <v>6</v>
      </c>
      <c r="M46" s="110"/>
      <c r="N46" s="110" t="s">
        <v>7</v>
      </c>
      <c r="O46" s="110"/>
      <c r="P46" s="110" t="s">
        <v>8</v>
      </c>
      <c r="Q46" s="110"/>
      <c r="R46" s="110" t="s">
        <v>9</v>
      </c>
      <c r="S46" s="110"/>
      <c r="T46" s="110" t="s">
        <v>10</v>
      </c>
      <c r="U46" s="110"/>
      <c r="V46" s="110" t="s">
        <v>11</v>
      </c>
      <c r="W46" s="110"/>
      <c r="X46" s="110" t="s">
        <v>12</v>
      </c>
      <c r="Y46" s="110"/>
      <c r="Z46" s="110" t="s">
        <v>13</v>
      </c>
      <c r="AA46" s="110"/>
      <c r="AB46" s="110" t="s">
        <v>14</v>
      </c>
      <c r="AC46" s="110"/>
      <c r="AD46" s="110" t="s">
        <v>15</v>
      </c>
      <c r="AE46" s="110"/>
      <c r="AF46" s="110" t="s">
        <v>16</v>
      </c>
      <c r="AG46" s="110"/>
      <c r="AH46" s="110" t="s">
        <v>17</v>
      </c>
      <c r="AI46" s="110"/>
      <c r="AJ46" s="110" t="s">
        <v>18</v>
      </c>
      <c r="AK46" s="110"/>
      <c r="AL46" s="110" t="s">
        <v>19</v>
      </c>
      <c r="AM46" s="110"/>
      <c r="AN46" s="110" t="s">
        <v>20</v>
      </c>
      <c r="AO46" s="110"/>
      <c r="AP46" s="110" t="s">
        <v>21</v>
      </c>
      <c r="AQ46" s="110"/>
      <c r="AR46" s="110" t="s">
        <v>161</v>
      </c>
      <c r="AS46" s="110"/>
      <c r="AT46" s="110" t="s">
        <v>162</v>
      </c>
      <c r="AU46" s="110"/>
      <c r="AV46" s="110" t="s">
        <v>22</v>
      </c>
      <c r="AW46" s="110"/>
      <c r="AX46" s="110" t="s">
        <v>23</v>
      </c>
      <c r="AY46" s="110"/>
      <c r="AZ46" s="110" t="s">
        <v>24</v>
      </c>
      <c r="BA46" s="110"/>
      <c r="BB46" s="110" t="s">
        <v>25</v>
      </c>
      <c r="BC46" s="110"/>
      <c r="BD46" s="110" t="s">
        <v>26</v>
      </c>
      <c r="BE46" s="110"/>
      <c r="BF46" s="110" t="s">
        <v>27</v>
      </c>
      <c r="BG46" s="110"/>
      <c r="BH46" s="110" t="s">
        <v>28</v>
      </c>
      <c r="BI46" s="110"/>
      <c r="BJ46" s="110" t="s">
        <v>29</v>
      </c>
      <c r="BK46" s="110"/>
      <c r="BL46" s="110" t="s">
        <v>30</v>
      </c>
      <c r="BM46" s="110"/>
      <c r="BN46" s="110" t="s">
        <v>31</v>
      </c>
      <c r="BO46" s="110"/>
      <c r="BP46" s="110" t="s">
        <v>304</v>
      </c>
      <c r="BQ46" s="110"/>
    </row>
    <row r="47" spans="1:69" s="43" customFormat="1" ht="44.25" customHeight="1" x14ac:dyDescent="0.25">
      <c r="A47" s="44"/>
      <c r="B47" s="44" t="s">
        <v>286</v>
      </c>
      <c r="C47" s="44" t="s">
        <v>287</v>
      </c>
      <c r="D47" s="44" t="s">
        <v>286</v>
      </c>
      <c r="E47" s="44" t="s">
        <v>287</v>
      </c>
      <c r="F47" s="44" t="s">
        <v>286</v>
      </c>
      <c r="G47" s="44" t="s">
        <v>287</v>
      </c>
      <c r="H47" s="44" t="s">
        <v>286</v>
      </c>
      <c r="I47" s="44" t="s">
        <v>287</v>
      </c>
      <c r="J47" s="44" t="s">
        <v>286</v>
      </c>
      <c r="K47" s="44" t="s">
        <v>287</v>
      </c>
      <c r="L47" s="44" t="s">
        <v>286</v>
      </c>
      <c r="M47" s="44" t="s">
        <v>287</v>
      </c>
      <c r="N47" s="44" t="s">
        <v>286</v>
      </c>
      <c r="O47" s="44" t="s">
        <v>287</v>
      </c>
      <c r="P47" s="44" t="s">
        <v>286</v>
      </c>
      <c r="Q47" s="44" t="s">
        <v>287</v>
      </c>
      <c r="R47" s="44" t="s">
        <v>286</v>
      </c>
      <c r="S47" s="44" t="s">
        <v>287</v>
      </c>
      <c r="T47" s="44" t="s">
        <v>286</v>
      </c>
      <c r="U47" s="44" t="s">
        <v>287</v>
      </c>
      <c r="V47" s="44" t="s">
        <v>286</v>
      </c>
      <c r="W47" s="44" t="s">
        <v>287</v>
      </c>
      <c r="X47" s="44" t="s">
        <v>286</v>
      </c>
      <c r="Y47" s="44" t="s">
        <v>287</v>
      </c>
      <c r="Z47" s="44" t="s">
        <v>286</v>
      </c>
      <c r="AA47" s="44" t="s">
        <v>287</v>
      </c>
      <c r="AB47" s="44" t="s">
        <v>286</v>
      </c>
      <c r="AC47" s="44" t="s">
        <v>287</v>
      </c>
      <c r="AD47" s="44" t="s">
        <v>286</v>
      </c>
      <c r="AE47" s="44" t="s">
        <v>287</v>
      </c>
      <c r="AF47" s="44" t="s">
        <v>286</v>
      </c>
      <c r="AG47" s="44" t="s">
        <v>287</v>
      </c>
      <c r="AH47" s="44" t="s">
        <v>286</v>
      </c>
      <c r="AI47" s="44" t="s">
        <v>287</v>
      </c>
      <c r="AJ47" s="44" t="s">
        <v>286</v>
      </c>
      <c r="AK47" s="44" t="s">
        <v>287</v>
      </c>
      <c r="AL47" s="44" t="s">
        <v>286</v>
      </c>
      <c r="AM47" s="44" t="s">
        <v>287</v>
      </c>
      <c r="AN47" s="44" t="s">
        <v>286</v>
      </c>
      <c r="AO47" s="44" t="s">
        <v>287</v>
      </c>
      <c r="AP47" s="44" t="s">
        <v>286</v>
      </c>
      <c r="AQ47" s="44" t="s">
        <v>287</v>
      </c>
      <c r="AR47" s="44" t="s">
        <v>286</v>
      </c>
      <c r="AS47" s="44" t="s">
        <v>287</v>
      </c>
      <c r="AT47" s="44" t="s">
        <v>286</v>
      </c>
      <c r="AU47" s="44" t="s">
        <v>287</v>
      </c>
      <c r="AV47" s="44" t="s">
        <v>286</v>
      </c>
      <c r="AW47" s="44" t="s">
        <v>287</v>
      </c>
      <c r="AX47" s="44" t="s">
        <v>286</v>
      </c>
      <c r="AY47" s="44" t="s">
        <v>287</v>
      </c>
      <c r="AZ47" s="44" t="s">
        <v>286</v>
      </c>
      <c r="BA47" s="44" t="s">
        <v>287</v>
      </c>
      <c r="BB47" s="44" t="s">
        <v>286</v>
      </c>
      <c r="BC47" s="44" t="s">
        <v>287</v>
      </c>
      <c r="BD47" s="44" t="s">
        <v>286</v>
      </c>
      <c r="BE47" s="44" t="s">
        <v>287</v>
      </c>
      <c r="BF47" s="44" t="s">
        <v>286</v>
      </c>
      <c r="BG47" s="44" t="s">
        <v>287</v>
      </c>
      <c r="BH47" s="44" t="s">
        <v>286</v>
      </c>
      <c r="BI47" s="44" t="s">
        <v>287</v>
      </c>
      <c r="BJ47" s="44" t="s">
        <v>286</v>
      </c>
      <c r="BK47" s="44" t="s">
        <v>287</v>
      </c>
      <c r="BL47" s="44" t="s">
        <v>286</v>
      </c>
      <c r="BM47" s="44" t="s">
        <v>287</v>
      </c>
      <c r="BN47" s="44" t="s">
        <v>286</v>
      </c>
      <c r="BO47" s="44" t="s">
        <v>287</v>
      </c>
      <c r="BP47" s="44" t="s">
        <v>286</v>
      </c>
      <c r="BQ47" s="44" t="s">
        <v>287</v>
      </c>
    </row>
    <row r="48" spans="1:69" x14ac:dyDescent="0.25">
      <c r="A48" s="25" t="s">
        <v>69</v>
      </c>
      <c r="B48" s="21"/>
      <c r="C48" s="21"/>
      <c r="D48" s="21"/>
      <c r="E48" s="21"/>
      <c r="F48" s="21"/>
      <c r="G48" s="21"/>
      <c r="H48" s="21"/>
      <c r="I48" s="21"/>
      <c r="J48" s="21">
        <v>200</v>
      </c>
      <c r="K48" s="21">
        <v>44329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>
        <v>49467</v>
      </c>
      <c r="AC48" s="21">
        <v>94269</v>
      </c>
      <c r="AD48" s="21">
        <v>92010</v>
      </c>
      <c r="AE48" s="21">
        <v>147507</v>
      </c>
      <c r="AF48" s="21">
        <v>1193</v>
      </c>
      <c r="AG48" s="21">
        <v>1274</v>
      </c>
      <c r="AH48" s="21"/>
      <c r="AI48" s="21"/>
      <c r="AJ48" s="21"/>
      <c r="AK48" s="21"/>
      <c r="AL48" s="21"/>
      <c r="AM48" s="21"/>
      <c r="AN48" s="21"/>
      <c r="AO48" s="21"/>
      <c r="AP48" s="21">
        <v>1000.6860000000015</v>
      </c>
      <c r="AQ48" s="21">
        <v>51652.014000000003</v>
      </c>
      <c r="AR48" s="21">
        <v>236737</v>
      </c>
      <c r="AS48" s="21">
        <v>505349</v>
      </c>
      <c r="AT48" s="21">
        <v>116679</v>
      </c>
      <c r="AU48" s="21">
        <v>461820</v>
      </c>
      <c r="AV48" s="21"/>
      <c r="AW48" s="21"/>
      <c r="AX48" s="21">
        <v>36082</v>
      </c>
      <c r="AY48" s="21">
        <v>37818</v>
      </c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>
        <v>-14</v>
      </c>
      <c r="BK48" s="21"/>
      <c r="BL48" s="21">
        <v>133869</v>
      </c>
      <c r="BM48" s="21">
        <v>245518</v>
      </c>
      <c r="BN48" s="21"/>
      <c r="BO48" s="21"/>
      <c r="BP48" s="21">
        <f t="shared" ref="BP48:BP49" si="10">B48+D48+F48+H48+J48+L48+N48+P48+R48+T48+V48+X48+Z48+AB48+AD48+AF48+AH48+AJ48+AL48+AN48+AP48+AR48+AT48+AV48+AX48+AZ48+BB48+BD48+BF48+BH48+BJ48+BL48+BN48</f>
        <v>667223.68599999999</v>
      </c>
      <c r="BQ48" s="21">
        <f t="shared" ref="BQ48:BQ49" si="11">C48+E48+G48+I48+K48+M48+O48+Q48+S48+U48+W48+Y48+AA48+AC48+AE48+AG48+AI48+AK48+AM48+AO48+AQ48+AS48+AU48+AW48+AY48+BA48+BC48+BE48+BG48+BI48+BK48+BM48+BO48</f>
        <v>1589536.014</v>
      </c>
    </row>
    <row r="49" spans="1:69" x14ac:dyDescent="0.25">
      <c r="A49" s="25" t="s">
        <v>267</v>
      </c>
      <c r="B49" s="21"/>
      <c r="C49" s="21"/>
      <c r="D49" s="21"/>
      <c r="E49" s="21"/>
      <c r="F49" s="21"/>
      <c r="G49" s="21"/>
      <c r="H49" s="21"/>
      <c r="I49" s="21"/>
      <c r="J49" s="21">
        <v>-9</v>
      </c>
      <c r="K49" s="21">
        <v>441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>
        <v>4</v>
      </c>
      <c r="Z49" s="21"/>
      <c r="AA49" s="21"/>
      <c r="AB49" s="21">
        <v>-25469</v>
      </c>
      <c r="AC49" s="21">
        <v>63793</v>
      </c>
      <c r="AD49" s="21">
        <v>10665</v>
      </c>
      <c r="AE49" s="21">
        <v>70041</v>
      </c>
      <c r="AF49" s="21">
        <v>1</v>
      </c>
      <c r="AG49" s="21">
        <v>1975</v>
      </c>
      <c r="AH49" s="21"/>
      <c r="AI49" s="21"/>
      <c r="AJ49" s="21"/>
      <c r="AK49" s="21"/>
      <c r="AL49" s="21"/>
      <c r="AM49" s="21"/>
      <c r="AN49" s="21"/>
      <c r="AO49" s="21"/>
      <c r="AP49" s="21">
        <v>145351.88700000002</v>
      </c>
      <c r="AQ49" s="21">
        <v>197394.82200000001</v>
      </c>
      <c r="AR49" s="21">
        <v>514843</v>
      </c>
      <c r="AS49" s="21">
        <v>1250317</v>
      </c>
      <c r="AT49" s="21">
        <v>238325</v>
      </c>
      <c r="AU49" s="21">
        <v>583987</v>
      </c>
      <c r="AV49" s="21"/>
      <c r="AW49" s="21"/>
      <c r="AX49" s="21">
        <v>2668</v>
      </c>
      <c r="AY49" s="21">
        <v>2166</v>
      </c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>
        <v>-733</v>
      </c>
      <c r="BK49" s="21">
        <v>-2671</v>
      </c>
      <c r="BL49" s="21">
        <v>-65167</v>
      </c>
      <c r="BM49" s="21">
        <v>-11404</v>
      </c>
      <c r="BN49" s="21"/>
      <c r="BO49" s="21"/>
      <c r="BP49" s="21">
        <f t="shared" si="10"/>
        <v>820475.88699999999</v>
      </c>
      <c r="BQ49" s="21">
        <f t="shared" si="11"/>
        <v>2156043.8220000002</v>
      </c>
    </row>
    <row r="51" spans="1:69" x14ac:dyDescent="0.25">
      <c r="A51" s="7" t="s">
        <v>186</v>
      </c>
    </row>
    <row r="52" spans="1:69" s="15" customFormat="1" x14ac:dyDescent="0.25">
      <c r="A52" s="23" t="s">
        <v>0</v>
      </c>
      <c r="B52" s="110" t="s">
        <v>1</v>
      </c>
      <c r="C52" s="110"/>
      <c r="D52" s="110" t="s">
        <v>2</v>
      </c>
      <c r="E52" s="110"/>
      <c r="F52" s="110" t="s">
        <v>3</v>
      </c>
      <c r="G52" s="110"/>
      <c r="H52" s="110" t="s">
        <v>4</v>
      </c>
      <c r="I52" s="110"/>
      <c r="J52" s="110" t="s">
        <v>5</v>
      </c>
      <c r="K52" s="110"/>
      <c r="L52" s="110" t="s">
        <v>6</v>
      </c>
      <c r="M52" s="110"/>
      <c r="N52" s="110" t="s">
        <v>7</v>
      </c>
      <c r="O52" s="110"/>
      <c r="P52" s="110" t="s">
        <v>8</v>
      </c>
      <c r="Q52" s="110"/>
      <c r="R52" s="110" t="s">
        <v>9</v>
      </c>
      <c r="S52" s="110"/>
      <c r="T52" s="110" t="s">
        <v>10</v>
      </c>
      <c r="U52" s="110"/>
      <c r="V52" s="110" t="s">
        <v>11</v>
      </c>
      <c r="W52" s="110"/>
      <c r="X52" s="110" t="s">
        <v>12</v>
      </c>
      <c r="Y52" s="110"/>
      <c r="Z52" s="110" t="s">
        <v>13</v>
      </c>
      <c r="AA52" s="110"/>
      <c r="AB52" s="110" t="s">
        <v>14</v>
      </c>
      <c r="AC52" s="110"/>
      <c r="AD52" s="110" t="s">
        <v>15</v>
      </c>
      <c r="AE52" s="110"/>
      <c r="AF52" s="110" t="s">
        <v>16</v>
      </c>
      <c r="AG52" s="110"/>
      <c r="AH52" s="110" t="s">
        <v>17</v>
      </c>
      <c r="AI52" s="110"/>
      <c r="AJ52" s="110" t="s">
        <v>18</v>
      </c>
      <c r="AK52" s="110"/>
      <c r="AL52" s="110" t="s">
        <v>19</v>
      </c>
      <c r="AM52" s="110"/>
      <c r="AN52" s="110" t="s">
        <v>20</v>
      </c>
      <c r="AO52" s="110"/>
      <c r="AP52" s="110" t="s">
        <v>21</v>
      </c>
      <c r="AQ52" s="110"/>
      <c r="AR52" s="110" t="s">
        <v>161</v>
      </c>
      <c r="AS52" s="110"/>
      <c r="AT52" s="110" t="s">
        <v>162</v>
      </c>
      <c r="AU52" s="110"/>
      <c r="AV52" s="110" t="s">
        <v>22</v>
      </c>
      <c r="AW52" s="110"/>
      <c r="AX52" s="110" t="s">
        <v>23</v>
      </c>
      <c r="AY52" s="110"/>
      <c r="AZ52" s="110" t="s">
        <v>24</v>
      </c>
      <c r="BA52" s="110"/>
      <c r="BB52" s="110" t="s">
        <v>25</v>
      </c>
      <c r="BC52" s="110"/>
      <c r="BD52" s="110" t="s">
        <v>26</v>
      </c>
      <c r="BE52" s="110"/>
      <c r="BF52" s="110" t="s">
        <v>27</v>
      </c>
      <c r="BG52" s="110"/>
      <c r="BH52" s="110" t="s">
        <v>28</v>
      </c>
      <c r="BI52" s="110"/>
      <c r="BJ52" s="110" t="s">
        <v>29</v>
      </c>
      <c r="BK52" s="110"/>
      <c r="BL52" s="110" t="s">
        <v>30</v>
      </c>
      <c r="BM52" s="110"/>
      <c r="BN52" s="110" t="s">
        <v>31</v>
      </c>
      <c r="BO52" s="110"/>
      <c r="BP52" s="110" t="s">
        <v>304</v>
      </c>
      <c r="BQ52" s="110"/>
    </row>
    <row r="53" spans="1:69" s="43" customFormat="1" ht="44.25" customHeight="1" x14ac:dyDescent="0.25">
      <c r="A53" s="44"/>
      <c r="B53" s="44" t="s">
        <v>286</v>
      </c>
      <c r="C53" s="44" t="s">
        <v>287</v>
      </c>
      <c r="D53" s="44" t="s">
        <v>286</v>
      </c>
      <c r="E53" s="44" t="s">
        <v>287</v>
      </c>
      <c r="F53" s="44" t="s">
        <v>286</v>
      </c>
      <c r="G53" s="44" t="s">
        <v>287</v>
      </c>
      <c r="H53" s="44" t="s">
        <v>286</v>
      </c>
      <c r="I53" s="44" t="s">
        <v>287</v>
      </c>
      <c r="J53" s="44" t="s">
        <v>286</v>
      </c>
      <c r="K53" s="44" t="s">
        <v>287</v>
      </c>
      <c r="L53" s="44" t="s">
        <v>286</v>
      </c>
      <c r="M53" s="44" t="s">
        <v>287</v>
      </c>
      <c r="N53" s="44" t="s">
        <v>286</v>
      </c>
      <c r="O53" s="44" t="s">
        <v>287</v>
      </c>
      <c r="P53" s="44" t="s">
        <v>286</v>
      </c>
      <c r="Q53" s="44" t="s">
        <v>287</v>
      </c>
      <c r="R53" s="44" t="s">
        <v>286</v>
      </c>
      <c r="S53" s="44" t="s">
        <v>287</v>
      </c>
      <c r="T53" s="44" t="s">
        <v>286</v>
      </c>
      <c r="U53" s="44" t="s">
        <v>287</v>
      </c>
      <c r="V53" s="44" t="s">
        <v>286</v>
      </c>
      <c r="W53" s="44" t="s">
        <v>287</v>
      </c>
      <c r="X53" s="44" t="s">
        <v>286</v>
      </c>
      <c r="Y53" s="44" t="s">
        <v>287</v>
      </c>
      <c r="Z53" s="44" t="s">
        <v>286</v>
      </c>
      <c r="AA53" s="44" t="s">
        <v>287</v>
      </c>
      <c r="AB53" s="44" t="s">
        <v>286</v>
      </c>
      <c r="AC53" s="44" t="s">
        <v>287</v>
      </c>
      <c r="AD53" s="44" t="s">
        <v>286</v>
      </c>
      <c r="AE53" s="44" t="s">
        <v>287</v>
      </c>
      <c r="AF53" s="44" t="s">
        <v>286</v>
      </c>
      <c r="AG53" s="44" t="s">
        <v>287</v>
      </c>
      <c r="AH53" s="44" t="s">
        <v>286</v>
      </c>
      <c r="AI53" s="44" t="s">
        <v>287</v>
      </c>
      <c r="AJ53" s="44" t="s">
        <v>286</v>
      </c>
      <c r="AK53" s="44" t="s">
        <v>287</v>
      </c>
      <c r="AL53" s="44" t="s">
        <v>286</v>
      </c>
      <c r="AM53" s="44" t="s">
        <v>287</v>
      </c>
      <c r="AN53" s="44" t="s">
        <v>286</v>
      </c>
      <c r="AO53" s="44" t="s">
        <v>287</v>
      </c>
      <c r="AP53" s="44" t="s">
        <v>286</v>
      </c>
      <c r="AQ53" s="44" t="s">
        <v>287</v>
      </c>
      <c r="AR53" s="44" t="s">
        <v>286</v>
      </c>
      <c r="AS53" s="44" t="s">
        <v>287</v>
      </c>
      <c r="AT53" s="44" t="s">
        <v>286</v>
      </c>
      <c r="AU53" s="44" t="s">
        <v>287</v>
      </c>
      <c r="AV53" s="44" t="s">
        <v>286</v>
      </c>
      <c r="AW53" s="44" t="s">
        <v>287</v>
      </c>
      <c r="AX53" s="44" t="s">
        <v>286</v>
      </c>
      <c r="AY53" s="44" t="s">
        <v>287</v>
      </c>
      <c r="AZ53" s="44" t="s">
        <v>286</v>
      </c>
      <c r="BA53" s="44" t="s">
        <v>287</v>
      </c>
      <c r="BB53" s="44" t="s">
        <v>286</v>
      </c>
      <c r="BC53" s="44" t="s">
        <v>287</v>
      </c>
      <c r="BD53" s="44" t="s">
        <v>286</v>
      </c>
      <c r="BE53" s="44" t="s">
        <v>287</v>
      </c>
      <c r="BF53" s="44" t="s">
        <v>286</v>
      </c>
      <c r="BG53" s="44" t="s">
        <v>287</v>
      </c>
      <c r="BH53" s="44" t="s">
        <v>286</v>
      </c>
      <c r="BI53" s="44" t="s">
        <v>287</v>
      </c>
      <c r="BJ53" s="44" t="s">
        <v>286</v>
      </c>
      <c r="BK53" s="44" t="s">
        <v>287</v>
      </c>
      <c r="BL53" s="44" t="s">
        <v>286</v>
      </c>
      <c r="BM53" s="44" t="s">
        <v>287</v>
      </c>
      <c r="BN53" s="44" t="s">
        <v>286</v>
      </c>
      <c r="BO53" s="44" t="s">
        <v>287</v>
      </c>
      <c r="BP53" s="44" t="s">
        <v>286</v>
      </c>
      <c r="BQ53" s="44" t="s">
        <v>287</v>
      </c>
    </row>
    <row r="54" spans="1:69" x14ac:dyDescent="0.25">
      <c r="A54" s="25" t="s">
        <v>69</v>
      </c>
      <c r="B54" s="21"/>
      <c r="C54" s="21"/>
      <c r="D54" s="21"/>
      <c r="E54" s="21"/>
      <c r="F54" s="21">
        <v>8949905</v>
      </c>
      <c r="G54" s="21">
        <v>78272834</v>
      </c>
      <c r="H54" s="21">
        <v>33937</v>
      </c>
      <c r="I54" s="21">
        <v>82212</v>
      </c>
      <c r="J54" s="21">
        <f>J60-J36-J30-J24-J18-J12-J6-J42-J48</f>
        <v>1549889</v>
      </c>
      <c r="K54" s="21">
        <f>K60-K36-K30-K24-K18-K12-K6-K42-K48</f>
        <v>13150742</v>
      </c>
      <c r="L54" s="21">
        <f t="shared" ref="L54:BO54" si="12">L60-L36-L30-L24-L18-L12-L6-L42-L48</f>
        <v>20477</v>
      </c>
      <c r="M54" s="21">
        <f t="shared" si="12"/>
        <v>954251</v>
      </c>
      <c r="N54" s="21">
        <f t="shared" si="12"/>
        <v>1797106</v>
      </c>
      <c r="O54" s="21">
        <f t="shared" si="12"/>
        <v>5888936</v>
      </c>
      <c r="P54" s="21">
        <f t="shared" si="12"/>
        <v>88</v>
      </c>
      <c r="Q54" s="21">
        <f t="shared" si="12"/>
        <v>172</v>
      </c>
      <c r="R54" s="21">
        <f t="shared" si="12"/>
        <v>0</v>
      </c>
      <c r="S54" s="21">
        <f t="shared" si="12"/>
        <v>0</v>
      </c>
      <c r="T54" s="21">
        <f t="shared" si="12"/>
        <v>0</v>
      </c>
      <c r="U54" s="21">
        <f t="shared" si="12"/>
        <v>0</v>
      </c>
      <c r="V54" s="21">
        <f t="shared" si="12"/>
        <v>3425489</v>
      </c>
      <c r="W54" s="21">
        <f t="shared" si="12"/>
        <v>5319010</v>
      </c>
      <c r="X54" s="21">
        <f t="shared" si="12"/>
        <v>165960</v>
      </c>
      <c r="Y54" s="21">
        <f t="shared" si="12"/>
        <v>483947</v>
      </c>
      <c r="Z54" s="21">
        <f t="shared" si="12"/>
        <v>5327</v>
      </c>
      <c r="AA54" s="21">
        <f t="shared" si="12"/>
        <v>9675.26</v>
      </c>
      <c r="AB54" s="21">
        <f t="shared" si="12"/>
        <v>3975647</v>
      </c>
      <c r="AC54" s="21">
        <f t="shared" si="12"/>
        <v>14705735</v>
      </c>
      <c r="AD54" s="21">
        <f t="shared" si="12"/>
        <v>7515947</v>
      </c>
      <c r="AE54" s="21">
        <f t="shared" si="12"/>
        <v>31393807</v>
      </c>
      <c r="AF54" s="21">
        <f t="shared" si="12"/>
        <v>1192814</v>
      </c>
      <c r="AG54" s="21">
        <f t="shared" si="12"/>
        <v>13025028</v>
      </c>
      <c r="AH54" s="21">
        <f t="shared" si="12"/>
        <v>145</v>
      </c>
      <c r="AI54" s="21">
        <f t="shared" si="12"/>
        <v>854</v>
      </c>
      <c r="AJ54" s="21">
        <f t="shared" si="12"/>
        <v>20790</v>
      </c>
      <c r="AK54" s="21">
        <f t="shared" si="12"/>
        <v>76471</v>
      </c>
      <c r="AL54" s="21">
        <f t="shared" si="12"/>
        <v>1292</v>
      </c>
      <c r="AM54" s="21">
        <f t="shared" si="12"/>
        <v>65842</v>
      </c>
      <c r="AN54" s="21">
        <f t="shared" si="12"/>
        <v>0</v>
      </c>
      <c r="AO54" s="21">
        <f t="shared" si="12"/>
        <v>0</v>
      </c>
      <c r="AP54" s="21">
        <f t="shared" si="12"/>
        <v>5211498.5110000018</v>
      </c>
      <c r="AQ54" s="21">
        <f t="shared" si="12"/>
        <v>16139560.320000006</v>
      </c>
      <c r="AR54" s="21">
        <f t="shared" si="12"/>
        <v>3944200</v>
      </c>
      <c r="AS54" s="21">
        <f t="shared" si="12"/>
        <v>10242430</v>
      </c>
      <c r="AT54" s="21">
        <f t="shared" si="12"/>
        <v>1481049</v>
      </c>
      <c r="AU54" s="21">
        <f t="shared" si="12"/>
        <v>8997930</v>
      </c>
      <c r="AV54" s="21">
        <f t="shared" si="12"/>
        <v>0</v>
      </c>
      <c r="AW54" s="21">
        <f t="shared" si="12"/>
        <v>260</v>
      </c>
      <c r="AX54" s="21">
        <f t="shared" si="12"/>
        <v>391194</v>
      </c>
      <c r="AY54" s="21">
        <f t="shared" si="12"/>
        <v>6378636</v>
      </c>
      <c r="AZ54" s="21">
        <f t="shared" si="12"/>
        <v>65517</v>
      </c>
      <c r="BA54" s="21">
        <f t="shared" si="12"/>
        <v>108924</v>
      </c>
      <c r="BB54" s="21">
        <f t="shared" si="12"/>
        <v>129068</v>
      </c>
      <c r="BC54" s="21">
        <f t="shared" si="12"/>
        <v>145662</v>
      </c>
      <c r="BD54" s="21">
        <f t="shared" si="12"/>
        <v>1804236</v>
      </c>
      <c r="BE54" s="21">
        <f t="shared" si="12"/>
        <v>3948059</v>
      </c>
      <c r="BF54" s="21">
        <f t="shared" si="12"/>
        <v>96748</v>
      </c>
      <c r="BG54" s="21">
        <f t="shared" si="12"/>
        <v>1736043</v>
      </c>
      <c r="BH54" s="21">
        <f t="shared" si="12"/>
        <v>7862330</v>
      </c>
      <c r="BI54" s="21">
        <f t="shared" si="12"/>
        <v>20220885</v>
      </c>
      <c r="BJ54" s="21">
        <f t="shared" si="12"/>
        <v>723116</v>
      </c>
      <c r="BK54" s="21">
        <f t="shared" si="12"/>
        <v>6356930</v>
      </c>
      <c r="BL54" s="21">
        <f t="shared" si="12"/>
        <v>2738278</v>
      </c>
      <c r="BM54" s="21">
        <f t="shared" si="12"/>
        <v>9779121</v>
      </c>
      <c r="BN54" s="21">
        <f t="shared" si="12"/>
        <v>107583</v>
      </c>
      <c r="BO54" s="21">
        <f t="shared" si="12"/>
        <v>2532148</v>
      </c>
      <c r="BP54" s="21">
        <f t="shared" ref="BP54:BP55" si="13">B54+D54+F54+H54+J54+L54+N54+P54+R54+T54+V54+X54+Z54+AB54+AD54+AF54+AH54+AJ54+AL54+AN54+AP54+AR54+AT54+AV54+AX54+AZ54+BB54+BD54+BF54+BH54+BJ54+BL54+BN54</f>
        <v>53209630.511</v>
      </c>
      <c r="BQ54" s="21">
        <f t="shared" ref="BQ54:BQ55" si="14">C54+E54+G54+I54+K54+M54+O54+Q54+S54+U54+W54+Y54+AA54+AC54+AE54+AG54+AI54+AK54+AM54+AO54+AQ54+AS54+AU54+AW54+AY54+BA54+BC54+BE54+BG54+BI54+BK54+BM54+BO54</f>
        <v>250016104.57999998</v>
      </c>
    </row>
    <row r="55" spans="1:69" x14ac:dyDescent="0.25">
      <c r="A55" s="25" t="s">
        <v>267</v>
      </c>
      <c r="B55" s="21"/>
      <c r="C55" s="21"/>
      <c r="D55" s="21"/>
      <c r="E55" s="21"/>
      <c r="F55" s="21">
        <v>3221864</v>
      </c>
      <c r="G55" s="21">
        <v>13419241</v>
      </c>
      <c r="H55" s="21">
        <v>45258</v>
      </c>
      <c r="I55" s="21">
        <v>119989</v>
      </c>
      <c r="J55" s="21">
        <f>J61-J37-J31-J25-J19-J13-J7-J43-J49</f>
        <v>176193</v>
      </c>
      <c r="K55" s="21">
        <f>K61-K37-K31-K25-K19-K13-K7-K43-K49</f>
        <v>629436</v>
      </c>
      <c r="L55" s="21">
        <f t="shared" ref="L55:BO55" si="15">L61-L37-L31-L25-L19-L13-L7-L43-L49</f>
        <v>450730</v>
      </c>
      <c r="M55" s="21">
        <f t="shared" si="15"/>
        <v>611047</v>
      </c>
      <c r="N55" s="21">
        <f t="shared" si="15"/>
        <v>283604</v>
      </c>
      <c r="O55" s="21">
        <f t="shared" si="15"/>
        <v>612789</v>
      </c>
      <c r="P55" s="21">
        <f t="shared" si="15"/>
        <v>1260</v>
      </c>
      <c r="Q55" s="21">
        <f t="shared" si="15"/>
        <v>1762</v>
      </c>
      <c r="R55" s="21">
        <f t="shared" si="15"/>
        <v>26</v>
      </c>
      <c r="S55" s="21">
        <f t="shared" si="15"/>
        <v>27</v>
      </c>
      <c r="T55" s="21">
        <f t="shared" si="15"/>
        <v>0</v>
      </c>
      <c r="U55" s="21">
        <f t="shared" si="15"/>
        <v>0</v>
      </c>
      <c r="V55" s="21">
        <f t="shared" si="15"/>
        <v>1518277</v>
      </c>
      <c r="W55" s="21">
        <f t="shared" si="15"/>
        <v>9171283</v>
      </c>
      <c r="X55" s="21">
        <f t="shared" si="15"/>
        <v>207454</v>
      </c>
      <c r="Y55" s="21">
        <f t="shared" si="15"/>
        <v>642927</v>
      </c>
      <c r="Z55" s="21">
        <f t="shared" si="15"/>
        <v>137727</v>
      </c>
      <c r="AA55" s="21">
        <f t="shared" si="15"/>
        <v>158562</v>
      </c>
      <c r="AB55" s="21">
        <f t="shared" si="15"/>
        <v>1572460</v>
      </c>
      <c r="AC55" s="21">
        <f t="shared" si="15"/>
        <v>3673480</v>
      </c>
      <c r="AD55" s="21">
        <f t="shared" si="15"/>
        <v>1709658</v>
      </c>
      <c r="AE55" s="21">
        <f t="shared" si="15"/>
        <v>6989653</v>
      </c>
      <c r="AF55" s="21">
        <f t="shared" si="15"/>
        <v>1476258</v>
      </c>
      <c r="AG55" s="21">
        <f t="shared" si="15"/>
        <v>3177888</v>
      </c>
      <c r="AH55" s="21">
        <f t="shared" si="15"/>
        <v>1072</v>
      </c>
      <c r="AI55" s="21">
        <f t="shared" si="15"/>
        <v>2528</v>
      </c>
      <c r="AJ55" s="21">
        <f t="shared" si="15"/>
        <v>43679</v>
      </c>
      <c r="AK55" s="21">
        <f t="shared" si="15"/>
        <v>96349</v>
      </c>
      <c r="AL55" s="21">
        <f t="shared" si="15"/>
        <v>11015</v>
      </c>
      <c r="AM55" s="21">
        <f t="shared" si="15"/>
        <v>-5454</v>
      </c>
      <c r="AN55" s="21">
        <f t="shared" si="15"/>
        <v>0</v>
      </c>
      <c r="AO55" s="21">
        <f t="shared" si="15"/>
        <v>-1</v>
      </c>
      <c r="AP55" s="21">
        <f t="shared" si="15"/>
        <v>2227744.9789999994</v>
      </c>
      <c r="AQ55" s="21">
        <f t="shared" si="15"/>
        <v>6732472.7759999977</v>
      </c>
      <c r="AR55" s="21">
        <f t="shared" si="15"/>
        <v>4159004</v>
      </c>
      <c r="AS55" s="21">
        <f t="shared" si="15"/>
        <v>8387423</v>
      </c>
      <c r="AT55" s="21">
        <f t="shared" si="15"/>
        <v>18789584</v>
      </c>
      <c r="AU55" s="21">
        <f t="shared" si="15"/>
        <v>50704575</v>
      </c>
      <c r="AV55" s="21">
        <f t="shared" si="15"/>
        <v>103</v>
      </c>
      <c r="AW55" s="21">
        <f t="shared" si="15"/>
        <v>102</v>
      </c>
      <c r="AX55" s="21">
        <f t="shared" si="15"/>
        <v>1358668</v>
      </c>
      <c r="AY55" s="21">
        <f t="shared" si="15"/>
        <v>2097426</v>
      </c>
      <c r="AZ55" s="21">
        <f t="shared" si="15"/>
        <v>10402</v>
      </c>
      <c r="BA55" s="21">
        <f t="shared" si="15"/>
        <v>82836</v>
      </c>
      <c r="BB55" s="21">
        <f t="shared" si="15"/>
        <v>478406</v>
      </c>
      <c r="BC55" s="21">
        <f t="shared" si="15"/>
        <v>775734</v>
      </c>
      <c r="BD55" s="21">
        <f t="shared" si="15"/>
        <v>1234867</v>
      </c>
      <c r="BE55" s="21">
        <f t="shared" si="15"/>
        <v>2209124</v>
      </c>
      <c r="BF55" s="21">
        <f t="shared" si="15"/>
        <v>21749</v>
      </c>
      <c r="BG55" s="21">
        <f t="shared" si="15"/>
        <v>40517</v>
      </c>
      <c r="BH55" s="21">
        <f t="shared" si="15"/>
        <v>5884427</v>
      </c>
      <c r="BI55" s="21">
        <f t="shared" si="15"/>
        <v>16511771</v>
      </c>
      <c r="BJ55" s="21">
        <f t="shared" si="15"/>
        <v>4131465</v>
      </c>
      <c r="BK55" s="21">
        <f t="shared" si="15"/>
        <v>4435257</v>
      </c>
      <c r="BL55" s="21">
        <f t="shared" si="15"/>
        <v>888859</v>
      </c>
      <c r="BM55" s="21">
        <f t="shared" si="15"/>
        <v>3237316</v>
      </c>
      <c r="BN55" s="21">
        <f t="shared" si="15"/>
        <v>2716797</v>
      </c>
      <c r="BO55" s="21">
        <f t="shared" si="15"/>
        <v>2859530</v>
      </c>
      <c r="BP55" s="21">
        <f t="shared" si="13"/>
        <v>52758610.979000002</v>
      </c>
      <c r="BQ55" s="21">
        <f t="shared" si="14"/>
        <v>137375589.77599999</v>
      </c>
    </row>
    <row r="57" spans="1:69" x14ac:dyDescent="0.25">
      <c r="A57" s="7" t="s">
        <v>61</v>
      </c>
    </row>
    <row r="58" spans="1:69" s="15" customFormat="1" x14ac:dyDescent="0.25">
      <c r="A58" s="23" t="s">
        <v>0</v>
      </c>
      <c r="B58" s="110" t="s">
        <v>1</v>
      </c>
      <c r="C58" s="110"/>
      <c r="D58" s="110" t="s">
        <v>2</v>
      </c>
      <c r="E58" s="110"/>
      <c r="F58" s="110" t="s">
        <v>3</v>
      </c>
      <c r="G58" s="110"/>
      <c r="H58" s="110" t="s">
        <v>4</v>
      </c>
      <c r="I58" s="110"/>
      <c r="J58" s="110" t="s">
        <v>5</v>
      </c>
      <c r="K58" s="110"/>
      <c r="L58" s="110" t="s">
        <v>6</v>
      </c>
      <c r="M58" s="110"/>
      <c r="N58" s="110" t="s">
        <v>7</v>
      </c>
      <c r="O58" s="110"/>
      <c r="P58" s="110" t="s">
        <v>8</v>
      </c>
      <c r="Q58" s="110"/>
      <c r="R58" s="110" t="s">
        <v>9</v>
      </c>
      <c r="S58" s="110"/>
      <c r="T58" s="110" t="s">
        <v>10</v>
      </c>
      <c r="U58" s="110"/>
      <c r="V58" s="110" t="s">
        <v>11</v>
      </c>
      <c r="W58" s="110"/>
      <c r="X58" s="110" t="s">
        <v>12</v>
      </c>
      <c r="Y58" s="110"/>
      <c r="Z58" s="110" t="s">
        <v>13</v>
      </c>
      <c r="AA58" s="110"/>
      <c r="AB58" s="110" t="s">
        <v>14</v>
      </c>
      <c r="AC58" s="110"/>
      <c r="AD58" s="110" t="s">
        <v>15</v>
      </c>
      <c r="AE58" s="110"/>
      <c r="AF58" s="110" t="s">
        <v>16</v>
      </c>
      <c r="AG58" s="110"/>
      <c r="AH58" s="110" t="s">
        <v>17</v>
      </c>
      <c r="AI58" s="110"/>
      <c r="AJ58" s="110" t="s">
        <v>18</v>
      </c>
      <c r="AK58" s="110"/>
      <c r="AL58" s="110" t="s">
        <v>19</v>
      </c>
      <c r="AM58" s="110"/>
      <c r="AN58" s="110" t="s">
        <v>20</v>
      </c>
      <c r="AO58" s="110"/>
      <c r="AP58" s="110" t="s">
        <v>21</v>
      </c>
      <c r="AQ58" s="110"/>
      <c r="AR58" s="110" t="s">
        <v>161</v>
      </c>
      <c r="AS58" s="110"/>
      <c r="AT58" s="110" t="s">
        <v>162</v>
      </c>
      <c r="AU58" s="110"/>
      <c r="AV58" s="110" t="s">
        <v>22</v>
      </c>
      <c r="AW58" s="110"/>
      <c r="AX58" s="110" t="s">
        <v>23</v>
      </c>
      <c r="AY58" s="110"/>
      <c r="AZ58" s="110" t="s">
        <v>24</v>
      </c>
      <c r="BA58" s="110"/>
      <c r="BB58" s="110" t="s">
        <v>25</v>
      </c>
      <c r="BC58" s="110"/>
      <c r="BD58" s="110" t="s">
        <v>26</v>
      </c>
      <c r="BE58" s="110"/>
      <c r="BF58" s="110" t="s">
        <v>27</v>
      </c>
      <c r="BG58" s="110"/>
      <c r="BH58" s="110" t="s">
        <v>28</v>
      </c>
      <c r="BI58" s="110"/>
      <c r="BJ58" s="110" t="s">
        <v>29</v>
      </c>
      <c r="BK58" s="110"/>
      <c r="BL58" s="110" t="s">
        <v>30</v>
      </c>
      <c r="BM58" s="110"/>
      <c r="BN58" s="110" t="s">
        <v>31</v>
      </c>
      <c r="BO58" s="110"/>
      <c r="BP58" s="110" t="s">
        <v>304</v>
      </c>
      <c r="BQ58" s="110"/>
    </row>
    <row r="59" spans="1:69" s="43" customFormat="1" ht="44.25" customHeight="1" x14ac:dyDescent="0.25">
      <c r="A59" s="44"/>
      <c r="B59" s="44" t="s">
        <v>286</v>
      </c>
      <c r="C59" s="44" t="s">
        <v>287</v>
      </c>
      <c r="D59" s="44" t="s">
        <v>286</v>
      </c>
      <c r="E59" s="44" t="s">
        <v>287</v>
      </c>
      <c r="F59" s="44" t="s">
        <v>286</v>
      </c>
      <c r="G59" s="44" t="s">
        <v>287</v>
      </c>
      <c r="H59" s="44" t="s">
        <v>286</v>
      </c>
      <c r="I59" s="44" t="s">
        <v>287</v>
      </c>
      <c r="J59" s="44" t="s">
        <v>286</v>
      </c>
      <c r="K59" s="44" t="s">
        <v>287</v>
      </c>
      <c r="L59" s="44" t="s">
        <v>286</v>
      </c>
      <c r="M59" s="44" t="s">
        <v>287</v>
      </c>
      <c r="N59" s="44" t="s">
        <v>286</v>
      </c>
      <c r="O59" s="44" t="s">
        <v>287</v>
      </c>
      <c r="P59" s="44" t="s">
        <v>286</v>
      </c>
      <c r="Q59" s="44" t="s">
        <v>287</v>
      </c>
      <c r="R59" s="44" t="s">
        <v>286</v>
      </c>
      <c r="S59" s="44" t="s">
        <v>287</v>
      </c>
      <c r="T59" s="44" t="s">
        <v>286</v>
      </c>
      <c r="U59" s="44" t="s">
        <v>287</v>
      </c>
      <c r="V59" s="44" t="s">
        <v>286</v>
      </c>
      <c r="W59" s="44" t="s">
        <v>287</v>
      </c>
      <c r="X59" s="44" t="s">
        <v>286</v>
      </c>
      <c r="Y59" s="44" t="s">
        <v>287</v>
      </c>
      <c r="Z59" s="44" t="s">
        <v>286</v>
      </c>
      <c r="AA59" s="44" t="s">
        <v>287</v>
      </c>
      <c r="AB59" s="44" t="s">
        <v>286</v>
      </c>
      <c r="AC59" s="44" t="s">
        <v>287</v>
      </c>
      <c r="AD59" s="44" t="s">
        <v>286</v>
      </c>
      <c r="AE59" s="44" t="s">
        <v>287</v>
      </c>
      <c r="AF59" s="44" t="s">
        <v>286</v>
      </c>
      <c r="AG59" s="44" t="s">
        <v>287</v>
      </c>
      <c r="AH59" s="44" t="s">
        <v>286</v>
      </c>
      <c r="AI59" s="44" t="s">
        <v>287</v>
      </c>
      <c r="AJ59" s="44" t="s">
        <v>286</v>
      </c>
      <c r="AK59" s="44" t="s">
        <v>287</v>
      </c>
      <c r="AL59" s="44" t="s">
        <v>286</v>
      </c>
      <c r="AM59" s="44" t="s">
        <v>287</v>
      </c>
      <c r="AN59" s="44" t="s">
        <v>286</v>
      </c>
      <c r="AO59" s="44" t="s">
        <v>287</v>
      </c>
      <c r="AP59" s="44" t="s">
        <v>286</v>
      </c>
      <c r="AQ59" s="44" t="s">
        <v>287</v>
      </c>
      <c r="AR59" s="44" t="s">
        <v>286</v>
      </c>
      <c r="AS59" s="44" t="s">
        <v>287</v>
      </c>
      <c r="AT59" s="44" t="s">
        <v>286</v>
      </c>
      <c r="AU59" s="44" t="s">
        <v>287</v>
      </c>
      <c r="AV59" s="44" t="s">
        <v>286</v>
      </c>
      <c r="AW59" s="44" t="s">
        <v>287</v>
      </c>
      <c r="AX59" s="44" t="s">
        <v>286</v>
      </c>
      <c r="AY59" s="44" t="s">
        <v>287</v>
      </c>
      <c r="AZ59" s="44" t="s">
        <v>286</v>
      </c>
      <c r="BA59" s="44" t="s">
        <v>287</v>
      </c>
      <c r="BB59" s="44" t="s">
        <v>286</v>
      </c>
      <c r="BC59" s="44" t="s">
        <v>287</v>
      </c>
      <c r="BD59" s="44" t="s">
        <v>286</v>
      </c>
      <c r="BE59" s="44" t="s">
        <v>287</v>
      </c>
      <c r="BF59" s="44" t="s">
        <v>286</v>
      </c>
      <c r="BG59" s="44" t="s">
        <v>287</v>
      </c>
      <c r="BH59" s="44" t="s">
        <v>286</v>
      </c>
      <c r="BI59" s="44" t="s">
        <v>287</v>
      </c>
      <c r="BJ59" s="44" t="s">
        <v>286</v>
      </c>
      <c r="BK59" s="44" t="s">
        <v>287</v>
      </c>
      <c r="BL59" s="44" t="s">
        <v>286</v>
      </c>
      <c r="BM59" s="44" t="s">
        <v>287</v>
      </c>
      <c r="BN59" s="44" t="s">
        <v>286</v>
      </c>
      <c r="BO59" s="44" t="s">
        <v>287</v>
      </c>
      <c r="BP59" s="44" t="s">
        <v>286</v>
      </c>
      <c r="BQ59" s="44" t="s">
        <v>287</v>
      </c>
    </row>
    <row r="60" spans="1:69" x14ac:dyDescent="0.25">
      <c r="A60" s="25" t="s">
        <v>69</v>
      </c>
      <c r="B60" s="21">
        <v>31491</v>
      </c>
      <c r="C60" s="21">
        <v>37847</v>
      </c>
      <c r="D60" s="21">
        <v>517543</v>
      </c>
      <c r="E60" s="21">
        <v>1181194</v>
      </c>
      <c r="F60" s="21">
        <v>8949905</v>
      </c>
      <c r="G60" s="21">
        <v>78272834</v>
      </c>
      <c r="H60" s="21">
        <v>3221151</v>
      </c>
      <c r="I60" s="21">
        <v>8316647</v>
      </c>
      <c r="J60" s="21">
        <v>12453341</v>
      </c>
      <c r="K60" s="21">
        <v>40714323</v>
      </c>
      <c r="L60" s="21">
        <v>2451899</v>
      </c>
      <c r="M60" s="21">
        <v>7397382</v>
      </c>
      <c r="N60" s="21">
        <v>5230144</v>
      </c>
      <c r="O60" s="21">
        <v>16243598</v>
      </c>
      <c r="P60" s="21">
        <v>613398</v>
      </c>
      <c r="Q60" s="21">
        <v>1686713</v>
      </c>
      <c r="R60" s="21">
        <v>27324</v>
      </c>
      <c r="S60" s="21">
        <v>41654</v>
      </c>
      <c r="T60" s="21">
        <v>12786</v>
      </c>
      <c r="U60" s="21">
        <v>12923</v>
      </c>
      <c r="V60" s="21">
        <v>3425489</v>
      </c>
      <c r="W60" s="21">
        <v>5319010</v>
      </c>
      <c r="X60" s="21">
        <v>2625808</v>
      </c>
      <c r="Y60" s="21">
        <v>7234715</v>
      </c>
      <c r="Z60" s="21">
        <v>146842</v>
      </c>
      <c r="AA60" s="21">
        <v>231563</v>
      </c>
      <c r="AB60" s="21">
        <v>12697544</v>
      </c>
      <c r="AC60" s="21">
        <v>36131252</v>
      </c>
      <c r="AD60" s="21">
        <v>20353330</v>
      </c>
      <c r="AE60" s="21">
        <v>66659507</v>
      </c>
      <c r="AF60" s="21">
        <v>8726000</v>
      </c>
      <c r="AG60" s="21">
        <v>34653928</v>
      </c>
      <c r="AH60" s="21">
        <v>193713</v>
      </c>
      <c r="AI60" s="21">
        <v>465674</v>
      </c>
      <c r="AJ60" s="21">
        <v>1152757</v>
      </c>
      <c r="AK60" s="21">
        <v>2988367</v>
      </c>
      <c r="AL60" s="21">
        <v>504677</v>
      </c>
      <c r="AM60" s="21">
        <v>1554437</v>
      </c>
      <c r="AN60" s="21">
        <v>988210</v>
      </c>
      <c r="AO60" s="21">
        <v>2811413</v>
      </c>
      <c r="AP60" s="21">
        <v>32698108.069000002</v>
      </c>
      <c r="AQ60" s="21">
        <v>92618027.260000005</v>
      </c>
      <c r="AR60" s="21">
        <v>49899817</v>
      </c>
      <c r="AS60" s="21">
        <v>136341509</v>
      </c>
      <c r="AT60" s="21">
        <v>23851150</v>
      </c>
      <c r="AU60" s="21">
        <v>69950153</v>
      </c>
      <c r="AV60" s="21">
        <v>19943</v>
      </c>
      <c r="AW60" s="21">
        <v>58546</v>
      </c>
      <c r="AX60" s="21">
        <v>7843589</v>
      </c>
      <c r="AY60" s="21">
        <v>25822739</v>
      </c>
      <c r="AZ60" s="21">
        <v>2041139</v>
      </c>
      <c r="BA60" s="21">
        <v>4882778</v>
      </c>
      <c r="BB60" s="21">
        <v>3633911</v>
      </c>
      <c r="BC60" s="21">
        <v>10566052</v>
      </c>
      <c r="BD60" s="21">
        <v>5753244</v>
      </c>
      <c r="BE60" s="21">
        <v>13464154</v>
      </c>
      <c r="BF60" s="21">
        <v>2729643</v>
      </c>
      <c r="BG60" s="21">
        <v>9956052</v>
      </c>
      <c r="BH60" s="21">
        <v>7862330</v>
      </c>
      <c r="BI60" s="21">
        <v>20220885</v>
      </c>
      <c r="BJ60" s="21">
        <v>7588977</v>
      </c>
      <c r="BK60" s="21">
        <v>23164487</v>
      </c>
      <c r="BL60" s="21">
        <v>31383380</v>
      </c>
      <c r="BM60" s="21">
        <v>92061410</v>
      </c>
      <c r="BN60" s="21">
        <v>1564591</v>
      </c>
      <c r="BO60" s="21">
        <v>6471147</v>
      </c>
      <c r="BP60" s="21">
        <f t="shared" ref="BP60:BP61" si="16">B60+D60+F60+H60+J60+L60+N60+P60+R60+T60+V60+X60+Z60+AB60+AD60+AF60+AH60+AJ60+AL60+AN60+AP60+AR60+AT60+AV60+AX60+AZ60+BB60+BD60+BF60+BH60+BJ60+BL60+BN60</f>
        <v>261193174.06900001</v>
      </c>
      <c r="BQ60" s="21">
        <f t="shared" ref="BQ60:BQ61" si="17">C60+E60+G60+I60+K60+M60+O60+Q60+S60+U60+W60+Y60+AA60+AC60+AE60+AG60+AI60+AK60+AM60+AO60+AQ60+AS60+AU60+AW60+AY60+BA60+BC60+BE60+BG60+BI60+BK60+BM60+BO60</f>
        <v>817532920.25999999</v>
      </c>
    </row>
    <row r="61" spans="1:69" x14ac:dyDescent="0.25">
      <c r="A61" s="25" t="s">
        <v>267</v>
      </c>
      <c r="B61" s="21">
        <v>20424</v>
      </c>
      <c r="C61" s="21">
        <v>101821</v>
      </c>
      <c r="D61" s="21">
        <v>549090</v>
      </c>
      <c r="E61" s="21">
        <v>1360907</v>
      </c>
      <c r="F61" s="21">
        <v>3221864</v>
      </c>
      <c r="G61" s="21">
        <v>13419241</v>
      </c>
      <c r="H61" s="21">
        <v>2731717</v>
      </c>
      <c r="I61" s="21">
        <v>7429945</v>
      </c>
      <c r="J61" s="21">
        <v>11578846</v>
      </c>
      <c r="K61" s="21">
        <v>33622923</v>
      </c>
      <c r="L61" s="21">
        <v>2949926</v>
      </c>
      <c r="M61" s="21">
        <v>8030708</v>
      </c>
      <c r="N61" s="21">
        <v>5984817</v>
      </c>
      <c r="O61" s="21">
        <v>17162301</v>
      </c>
      <c r="P61" s="21">
        <v>592840</v>
      </c>
      <c r="Q61" s="21">
        <v>1765813</v>
      </c>
      <c r="R61" s="21">
        <v>85712</v>
      </c>
      <c r="S61" s="21">
        <v>179327</v>
      </c>
      <c r="T61" s="21">
        <v>99793</v>
      </c>
      <c r="U61" s="21">
        <v>149544</v>
      </c>
      <c r="V61" s="21">
        <v>1518277</v>
      </c>
      <c r="W61" s="21">
        <v>9171283</v>
      </c>
      <c r="X61" s="21">
        <v>2617028</v>
      </c>
      <c r="Y61" s="21">
        <v>7441984</v>
      </c>
      <c r="Z61" s="21">
        <v>900278</v>
      </c>
      <c r="AA61" s="21">
        <v>1632052</v>
      </c>
      <c r="AB61" s="21">
        <v>8469990</v>
      </c>
      <c r="AC61" s="21">
        <v>21977879</v>
      </c>
      <c r="AD61" s="21">
        <v>15288597</v>
      </c>
      <c r="AE61" s="21">
        <v>47334618</v>
      </c>
      <c r="AF61" s="21">
        <v>9589598</v>
      </c>
      <c r="AG61" s="21">
        <v>26959156</v>
      </c>
      <c r="AH61" s="21">
        <v>362680</v>
      </c>
      <c r="AI61" s="21">
        <v>968562</v>
      </c>
      <c r="AJ61" s="21">
        <v>1830086</v>
      </c>
      <c r="AK61" s="21">
        <v>3995962</v>
      </c>
      <c r="AL61" s="21">
        <v>1119691</v>
      </c>
      <c r="AM61" s="21">
        <v>1060796</v>
      </c>
      <c r="AN61" s="21">
        <v>867678</v>
      </c>
      <c r="AO61" s="21">
        <v>2639160</v>
      </c>
      <c r="AP61" s="21">
        <v>21697112.458999999</v>
      </c>
      <c r="AQ61" s="21">
        <v>67166498.991999999</v>
      </c>
      <c r="AR61" s="21">
        <v>55849917</v>
      </c>
      <c r="AS61" s="21">
        <v>152516785</v>
      </c>
      <c r="AT61" s="21">
        <v>29568296</v>
      </c>
      <c r="AU61" s="21">
        <v>84264903</v>
      </c>
      <c r="AV61" s="21">
        <v>229457</v>
      </c>
      <c r="AW61" s="21">
        <v>598384</v>
      </c>
      <c r="AX61" s="21">
        <v>8520024</v>
      </c>
      <c r="AY61" s="21">
        <v>22079559</v>
      </c>
      <c r="AZ61" s="21">
        <v>1728157</v>
      </c>
      <c r="BA61" s="21">
        <v>4421366</v>
      </c>
      <c r="BB61" s="21">
        <v>4923796</v>
      </c>
      <c r="BC61" s="21">
        <v>13814103</v>
      </c>
      <c r="BD61" s="21">
        <v>4744443</v>
      </c>
      <c r="BE61" s="21">
        <v>13550398</v>
      </c>
      <c r="BF61" s="21">
        <v>4252383</v>
      </c>
      <c r="BG61" s="21">
        <v>13189354</v>
      </c>
      <c r="BH61" s="21">
        <v>5884427</v>
      </c>
      <c r="BI61" s="21">
        <v>16511771</v>
      </c>
      <c r="BJ61" s="21">
        <v>11611573</v>
      </c>
      <c r="BK61" s="21">
        <v>25442089</v>
      </c>
      <c r="BL61" s="21">
        <v>32973010</v>
      </c>
      <c r="BM61" s="21">
        <v>107963984</v>
      </c>
      <c r="BN61" s="21">
        <v>4570856</v>
      </c>
      <c r="BO61" s="21">
        <v>7910540</v>
      </c>
      <c r="BP61" s="21">
        <f t="shared" si="16"/>
        <v>256932383.45899999</v>
      </c>
      <c r="BQ61" s="21">
        <f t="shared" si="17"/>
        <v>735833716.99199998</v>
      </c>
    </row>
  </sheetData>
  <mergeCells count="340">
    <mergeCell ref="BJ58:BK58"/>
    <mergeCell ref="BL58:BM58"/>
    <mergeCell ref="BN58:BO58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58:C58"/>
    <mergeCell ref="D58:E58"/>
    <mergeCell ref="F58:G58"/>
    <mergeCell ref="H58:I58"/>
    <mergeCell ref="J58:K58"/>
    <mergeCell ref="L58:M58"/>
    <mergeCell ref="BD52:BE52"/>
    <mergeCell ref="BF52:BG52"/>
    <mergeCell ref="BH52:BI52"/>
    <mergeCell ref="BJ52:BK52"/>
    <mergeCell ref="BL52:BM52"/>
    <mergeCell ref="BN52:BO52"/>
    <mergeCell ref="AR52:AS52"/>
    <mergeCell ref="AT52:AU52"/>
    <mergeCell ref="AV52:AW52"/>
    <mergeCell ref="AX52:AY52"/>
    <mergeCell ref="AZ52:BA52"/>
    <mergeCell ref="BB52:BC52"/>
    <mergeCell ref="AF52:AG52"/>
    <mergeCell ref="AH52:AI52"/>
    <mergeCell ref="AJ52:AK52"/>
    <mergeCell ref="AL52:AM52"/>
    <mergeCell ref="AN52:AO52"/>
    <mergeCell ref="AP52:AQ52"/>
    <mergeCell ref="T52:U52"/>
    <mergeCell ref="V52:W52"/>
    <mergeCell ref="X52:Y52"/>
    <mergeCell ref="Z52:AA52"/>
    <mergeCell ref="AB52:AC52"/>
    <mergeCell ref="AD52:AE52"/>
    <mergeCell ref="BN40:BO40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B40:BC40"/>
    <mergeCell ref="BD40:BE40"/>
    <mergeCell ref="BF40:BG40"/>
    <mergeCell ref="BH40:BI40"/>
    <mergeCell ref="BJ40:BK40"/>
    <mergeCell ref="BL40:BM40"/>
    <mergeCell ref="AP40:AQ40"/>
    <mergeCell ref="AR40:AS40"/>
    <mergeCell ref="AT40:AU40"/>
    <mergeCell ref="AV40:AW40"/>
    <mergeCell ref="AX40:AY40"/>
    <mergeCell ref="AZ40:BA40"/>
    <mergeCell ref="AD40:AE40"/>
    <mergeCell ref="AF40:AG40"/>
    <mergeCell ref="AJ40:AK40"/>
    <mergeCell ref="AL40:AM40"/>
    <mergeCell ref="AN40:AO40"/>
    <mergeCell ref="R40:S40"/>
    <mergeCell ref="T40:U40"/>
    <mergeCell ref="V40:W40"/>
    <mergeCell ref="X40:Y40"/>
    <mergeCell ref="Z40:AA40"/>
    <mergeCell ref="AB40:AC40"/>
    <mergeCell ref="BN34:BO34"/>
    <mergeCell ref="B40:C40"/>
    <mergeCell ref="D40:E40"/>
    <mergeCell ref="F40:G40"/>
    <mergeCell ref="H40:I40"/>
    <mergeCell ref="J40:K40"/>
    <mergeCell ref="L40:M40"/>
    <mergeCell ref="N40:O40"/>
    <mergeCell ref="P40:Q40"/>
    <mergeCell ref="AZ34:BA34"/>
    <mergeCell ref="BB34:BC34"/>
    <mergeCell ref="BD34:BE34"/>
    <mergeCell ref="BF34:BG34"/>
    <mergeCell ref="BH34:BI34"/>
    <mergeCell ref="BJ34:BK34"/>
    <mergeCell ref="AN34:AO34"/>
    <mergeCell ref="AP34:AQ34"/>
    <mergeCell ref="AR34:AS34"/>
    <mergeCell ref="AT34:AU34"/>
    <mergeCell ref="AV34:AW34"/>
    <mergeCell ref="AX34:AY34"/>
    <mergeCell ref="AB34:AC34"/>
    <mergeCell ref="AD34:AE34"/>
    <mergeCell ref="AH40:AI40"/>
    <mergeCell ref="AJ34:AK34"/>
    <mergeCell ref="AL34:AM34"/>
    <mergeCell ref="P34:Q34"/>
    <mergeCell ref="R34:S34"/>
    <mergeCell ref="T34:U34"/>
    <mergeCell ref="V34:W34"/>
    <mergeCell ref="X34:Y34"/>
    <mergeCell ref="Z34:AA34"/>
    <mergeCell ref="BL34:BM34"/>
    <mergeCell ref="BN28:BO28"/>
    <mergeCell ref="B34:C34"/>
    <mergeCell ref="D34:E34"/>
    <mergeCell ref="F34:G34"/>
    <mergeCell ref="H34:I34"/>
    <mergeCell ref="J34:K34"/>
    <mergeCell ref="L34:M34"/>
    <mergeCell ref="N34:O34"/>
    <mergeCell ref="AX28:AY28"/>
    <mergeCell ref="AZ28:BA28"/>
    <mergeCell ref="BB28:BC28"/>
    <mergeCell ref="BD28:BE28"/>
    <mergeCell ref="BF28:BG28"/>
    <mergeCell ref="BH28:BI28"/>
    <mergeCell ref="AL28:AM28"/>
    <mergeCell ref="AN28:AO28"/>
    <mergeCell ref="AP28:AQ28"/>
    <mergeCell ref="AR28:AS28"/>
    <mergeCell ref="AT28:AU28"/>
    <mergeCell ref="AV28:AW28"/>
    <mergeCell ref="Z28:AA28"/>
    <mergeCell ref="AB28:AC28"/>
    <mergeCell ref="AF34:AG34"/>
    <mergeCell ref="AH34:AI34"/>
    <mergeCell ref="AJ28:AK28"/>
    <mergeCell ref="N28:O28"/>
    <mergeCell ref="P28:Q28"/>
    <mergeCell ref="R28:S28"/>
    <mergeCell ref="T28:U28"/>
    <mergeCell ref="V28:W28"/>
    <mergeCell ref="X28:Y28"/>
    <mergeCell ref="BJ28:BK28"/>
    <mergeCell ref="BL28:BM28"/>
    <mergeCell ref="B28:C28"/>
    <mergeCell ref="D28:E28"/>
    <mergeCell ref="F28:G28"/>
    <mergeCell ref="H28:I28"/>
    <mergeCell ref="J28:K28"/>
    <mergeCell ref="L28:M28"/>
    <mergeCell ref="BD22:BE22"/>
    <mergeCell ref="BF22:BG22"/>
    <mergeCell ref="BH22:BI22"/>
    <mergeCell ref="AF22:AG22"/>
    <mergeCell ref="AH22:AI22"/>
    <mergeCell ref="AJ22:AK22"/>
    <mergeCell ref="AL22:AM22"/>
    <mergeCell ref="AN22:AO22"/>
    <mergeCell ref="AP22:AQ22"/>
    <mergeCell ref="T22:U22"/>
    <mergeCell ref="V22:W22"/>
    <mergeCell ref="X22:Y22"/>
    <mergeCell ref="Z22:AA22"/>
    <mergeCell ref="AB22:AC22"/>
    <mergeCell ref="AD22:AE22"/>
    <mergeCell ref="AD28:AE28"/>
    <mergeCell ref="AF28:AG28"/>
    <mergeCell ref="AH28:AI28"/>
    <mergeCell ref="BJ22:BK22"/>
    <mergeCell ref="BL22:BM22"/>
    <mergeCell ref="BN22:BO22"/>
    <mergeCell ref="AR22:AS22"/>
    <mergeCell ref="AT22:AU22"/>
    <mergeCell ref="AV22:AW22"/>
    <mergeCell ref="AX22:AY22"/>
    <mergeCell ref="AZ22:BA22"/>
    <mergeCell ref="BB22:BC22"/>
    <mergeCell ref="BN16:BO16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B16:BC16"/>
    <mergeCell ref="BD16:BE16"/>
    <mergeCell ref="BF16:BG16"/>
    <mergeCell ref="BH16:BI16"/>
    <mergeCell ref="BJ16:BK16"/>
    <mergeCell ref="BL16:BM16"/>
    <mergeCell ref="AP16:AQ16"/>
    <mergeCell ref="AR16:AS16"/>
    <mergeCell ref="AT16:AU16"/>
    <mergeCell ref="AV16:AW16"/>
    <mergeCell ref="AX16:AY16"/>
    <mergeCell ref="AZ16:BA16"/>
    <mergeCell ref="AD16:AE16"/>
    <mergeCell ref="AF16:AG16"/>
    <mergeCell ref="AJ16:AK16"/>
    <mergeCell ref="AL16:AM16"/>
    <mergeCell ref="AN16:AO16"/>
    <mergeCell ref="R16:S16"/>
    <mergeCell ref="T16:U16"/>
    <mergeCell ref="V16:W16"/>
    <mergeCell ref="X16:Y16"/>
    <mergeCell ref="Z16:AA16"/>
    <mergeCell ref="AB16:AC16"/>
    <mergeCell ref="BN10:BO10"/>
    <mergeCell ref="B16:C16"/>
    <mergeCell ref="D16:E16"/>
    <mergeCell ref="F16:G16"/>
    <mergeCell ref="H16:I16"/>
    <mergeCell ref="J16:K16"/>
    <mergeCell ref="L16:M16"/>
    <mergeCell ref="N16:O16"/>
    <mergeCell ref="P16:Q16"/>
    <mergeCell ref="AZ10:BA10"/>
    <mergeCell ref="BB10:BC10"/>
    <mergeCell ref="BD10:BE10"/>
    <mergeCell ref="BF10:BG10"/>
    <mergeCell ref="BH10:BI10"/>
    <mergeCell ref="BJ10:BK10"/>
    <mergeCell ref="AN10:AO10"/>
    <mergeCell ref="AP10:AQ10"/>
    <mergeCell ref="AR10:AS10"/>
    <mergeCell ref="AT10:AU10"/>
    <mergeCell ref="AV10:AW10"/>
    <mergeCell ref="AX10:AY10"/>
    <mergeCell ref="AB10:AC10"/>
    <mergeCell ref="AD10:AE10"/>
    <mergeCell ref="AH16:AI16"/>
    <mergeCell ref="AJ10:AK10"/>
    <mergeCell ref="AL10:AM10"/>
    <mergeCell ref="P10:Q10"/>
    <mergeCell ref="R10:S10"/>
    <mergeCell ref="T10:U10"/>
    <mergeCell ref="V10:W10"/>
    <mergeCell ref="X10:Y10"/>
    <mergeCell ref="Z10:AA10"/>
    <mergeCell ref="BL10:BM10"/>
    <mergeCell ref="BN4:BO4"/>
    <mergeCell ref="B10:C10"/>
    <mergeCell ref="D10:E10"/>
    <mergeCell ref="F10:G10"/>
    <mergeCell ref="H10:I10"/>
    <mergeCell ref="J10:K10"/>
    <mergeCell ref="L10:M10"/>
    <mergeCell ref="N10:O10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F10:AG10"/>
    <mergeCell ref="AH10:AI10"/>
    <mergeCell ref="AJ4:AK4"/>
    <mergeCell ref="N4:O4"/>
    <mergeCell ref="P4:Q4"/>
    <mergeCell ref="R4:S4"/>
    <mergeCell ref="T4:U4"/>
    <mergeCell ref="V4:W4"/>
    <mergeCell ref="X4:Y4"/>
    <mergeCell ref="BJ4:BK4"/>
    <mergeCell ref="BL4:BM4"/>
    <mergeCell ref="B4:C4"/>
    <mergeCell ref="D4:E4"/>
    <mergeCell ref="F4:G4"/>
    <mergeCell ref="H4:I4"/>
    <mergeCell ref="J4:K4"/>
    <mergeCell ref="L4:M4"/>
    <mergeCell ref="AD4:AE4"/>
    <mergeCell ref="AF4:AG4"/>
    <mergeCell ref="AH4:AI4"/>
    <mergeCell ref="BP4:BQ4"/>
    <mergeCell ref="BP10:BQ10"/>
    <mergeCell ref="BP16:BQ16"/>
    <mergeCell ref="BP22:BQ22"/>
    <mergeCell ref="BP28:BQ28"/>
    <mergeCell ref="BP34:BQ34"/>
    <mergeCell ref="BP40:BQ40"/>
    <mergeCell ref="BP52:BQ52"/>
    <mergeCell ref="BP58:BQ58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BD46:BE46"/>
    <mergeCell ref="BF46:BG46"/>
    <mergeCell ref="BH46:BI46"/>
    <mergeCell ref="BJ46:BK46"/>
    <mergeCell ref="BL46:BM46"/>
    <mergeCell ref="BN46:BO46"/>
    <mergeCell ref="BP46:BQ46"/>
    <mergeCell ref="AL46:AM46"/>
    <mergeCell ref="AN46:AO46"/>
    <mergeCell ref="AP46:AQ46"/>
    <mergeCell ref="AR46:AS46"/>
    <mergeCell ref="AT46:AU46"/>
    <mergeCell ref="AV46:AW46"/>
    <mergeCell ref="AX46:AY46"/>
    <mergeCell ref="AZ46:BA46"/>
    <mergeCell ref="BB46:BC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RowHeight="15" x14ac:dyDescent="0.25"/>
  <cols>
    <col min="1" max="1" width="30.85546875" style="4" customWidth="1"/>
    <col min="2" max="69" width="14.140625" style="4" customWidth="1"/>
    <col min="70" max="16384" width="9.140625" style="4"/>
  </cols>
  <sheetData>
    <row r="1" spans="1:69" ht="18.75" x14ac:dyDescent="0.3">
      <c r="A1" s="42" t="s">
        <v>204</v>
      </c>
    </row>
    <row r="2" spans="1:69" x14ac:dyDescent="0.25">
      <c r="A2" s="4" t="s">
        <v>43</v>
      </c>
    </row>
    <row r="3" spans="1:69" x14ac:dyDescent="0.25">
      <c r="A3" s="13" t="s">
        <v>156</v>
      </c>
    </row>
    <row r="4" spans="1:69" s="15" customFormat="1" x14ac:dyDescent="0.25">
      <c r="A4" s="23" t="s">
        <v>0</v>
      </c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  <c r="N4" s="111" t="s">
        <v>7</v>
      </c>
      <c r="O4" s="112"/>
      <c r="P4" s="111" t="s">
        <v>8</v>
      </c>
      <c r="Q4" s="112"/>
      <c r="R4" s="111" t="s">
        <v>9</v>
      </c>
      <c r="S4" s="112"/>
      <c r="T4" s="111" t="s">
        <v>10</v>
      </c>
      <c r="U4" s="112"/>
      <c r="V4" s="111" t="s">
        <v>11</v>
      </c>
      <c r="W4" s="112"/>
      <c r="X4" s="111" t="s">
        <v>12</v>
      </c>
      <c r="Y4" s="112"/>
      <c r="Z4" s="111" t="s">
        <v>13</v>
      </c>
      <c r="AA4" s="112"/>
      <c r="AB4" s="111" t="s">
        <v>14</v>
      </c>
      <c r="AC4" s="112"/>
      <c r="AD4" s="111" t="s">
        <v>15</v>
      </c>
      <c r="AE4" s="112"/>
      <c r="AF4" s="111" t="s">
        <v>16</v>
      </c>
      <c r="AG4" s="112"/>
      <c r="AH4" s="111" t="s">
        <v>17</v>
      </c>
      <c r="AI4" s="112"/>
      <c r="AJ4" s="111" t="s">
        <v>284</v>
      </c>
      <c r="AK4" s="112"/>
      <c r="AL4" s="111" t="s">
        <v>19</v>
      </c>
      <c r="AM4" s="112"/>
      <c r="AN4" s="111" t="s">
        <v>20</v>
      </c>
      <c r="AO4" s="112"/>
      <c r="AP4" s="111" t="s">
        <v>21</v>
      </c>
      <c r="AQ4" s="112"/>
      <c r="AR4" s="111" t="s">
        <v>161</v>
      </c>
      <c r="AS4" s="112"/>
      <c r="AT4" s="111" t="s">
        <v>162</v>
      </c>
      <c r="AU4" s="112"/>
      <c r="AV4" s="111" t="s">
        <v>22</v>
      </c>
      <c r="AW4" s="112"/>
      <c r="AX4" s="111" t="s">
        <v>23</v>
      </c>
      <c r="AY4" s="112"/>
      <c r="AZ4" s="111" t="s">
        <v>24</v>
      </c>
      <c r="BA4" s="112"/>
      <c r="BB4" s="111" t="s">
        <v>25</v>
      </c>
      <c r="BC4" s="112"/>
      <c r="BD4" s="111" t="s">
        <v>26</v>
      </c>
      <c r="BE4" s="112"/>
      <c r="BF4" s="111" t="s">
        <v>27</v>
      </c>
      <c r="BG4" s="112"/>
      <c r="BH4" s="111" t="s">
        <v>28</v>
      </c>
      <c r="BI4" s="112"/>
      <c r="BJ4" s="111" t="s">
        <v>29</v>
      </c>
      <c r="BK4" s="112"/>
      <c r="BL4" s="111" t="s">
        <v>30</v>
      </c>
      <c r="BM4" s="112"/>
      <c r="BN4" s="113" t="s">
        <v>31</v>
      </c>
      <c r="BO4" s="114"/>
      <c r="BP4" s="110" t="s">
        <v>304</v>
      </c>
      <c r="BQ4" s="110"/>
    </row>
    <row r="5" spans="1:69" s="43" customFormat="1" ht="44.25" customHeight="1" x14ac:dyDescent="0.25">
      <c r="A5" s="44"/>
      <c r="B5" s="44" t="s">
        <v>286</v>
      </c>
      <c r="C5" s="44" t="s">
        <v>287</v>
      </c>
      <c r="D5" s="44" t="s">
        <v>286</v>
      </c>
      <c r="E5" s="44" t="s">
        <v>287</v>
      </c>
      <c r="F5" s="44" t="s">
        <v>286</v>
      </c>
      <c r="G5" s="44" t="s">
        <v>287</v>
      </c>
      <c r="H5" s="44" t="s">
        <v>286</v>
      </c>
      <c r="I5" s="44" t="s">
        <v>287</v>
      </c>
      <c r="J5" s="44" t="s">
        <v>286</v>
      </c>
      <c r="K5" s="44" t="s">
        <v>287</v>
      </c>
      <c r="L5" s="44" t="s">
        <v>286</v>
      </c>
      <c r="M5" s="44" t="s">
        <v>287</v>
      </c>
      <c r="N5" s="44" t="s">
        <v>286</v>
      </c>
      <c r="O5" s="44" t="s">
        <v>287</v>
      </c>
      <c r="P5" s="44" t="s">
        <v>286</v>
      </c>
      <c r="Q5" s="44" t="s">
        <v>287</v>
      </c>
      <c r="R5" s="44" t="s">
        <v>286</v>
      </c>
      <c r="S5" s="44" t="s">
        <v>287</v>
      </c>
      <c r="T5" s="44" t="s">
        <v>286</v>
      </c>
      <c r="U5" s="44" t="s">
        <v>287</v>
      </c>
      <c r="V5" s="44" t="s">
        <v>286</v>
      </c>
      <c r="W5" s="44" t="s">
        <v>287</v>
      </c>
      <c r="X5" s="44" t="s">
        <v>286</v>
      </c>
      <c r="Y5" s="44" t="s">
        <v>287</v>
      </c>
      <c r="Z5" s="44" t="s">
        <v>286</v>
      </c>
      <c r="AA5" s="44" t="s">
        <v>287</v>
      </c>
      <c r="AB5" s="44" t="s">
        <v>286</v>
      </c>
      <c r="AC5" s="44" t="s">
        <v>287</v>
      </c>
      <c r="AD5" s="44" t="s">
        <v>286</v>
      </c>
      <c r="AE5" s="44" t="s">
        <v>287</v>
      </c>
      <c r="AF5" s="44" t="s">
        <v>286</v>
      </c>
      <c r="AG5" s="44" t="s">
        <v>287</v>
      </c>
      <c r="AH5" s="44" t="s">
        <v>286</v>
      </c>
      <c r="AI5" s="44" t="s">
        <v>287</v>
      </c>
      <c r="AJ5" s="44" t="s">
        <v>286</v>
      </c>
      <c r="AK5" s="44" t="s">
        <v>287</v>
      </c>
      <c r="AL5" s="44" t="s">
        <v>286</v>
      </c>
      <c r="AM5" s="44" t="s">
        <v>287</v>
      </c>
      <c r="AN5" s="44" t="s">
        <v>286</v>
      </c>
      <c r="AO5" s="44" t="s">
        <v>287</v>
      </c>
      <c r="AP5" s="44" t="s">
        <v>286</v>
      </c>
      <c r="AQ5" s="44" t="s">
        <v>287</v>
      </c>
      <c r="AR5" s="44" t="s">
        <v>286</v>
      </c>
      <c r="AS5" s="44" t="s">
        <v>287</v>
      </c>
      <c r="AT5" s="44" t="s">
        <v>286</v>
      </c>
      <c r="AU5" s="44" t="s">
        <v>287</v>
      </c>
      <c r="AV5" s="44" t="s">
        <v>286</v>
      </c>
      <c r="AW5" s="44" t="s">
        <v>287</v>
      </c>
      <c r="AX5" s="44" t="s">
        <v>286</v>
      </c>
      <c r="AY5" s="44" t="s">
        <v>287</v>
      </c>
      <c r="AZ5" s="44" t="s">
        <v>286</v>
      </c>
      <c r="BA5" s="44" t="s">
        <v>287</v>
      </c>
      <c r="BB5" s="44" t="s">
        <v>286</v>
      </c>
      <c r="BC5" s="44" t="s">
        <v>287</v>
      </c>
      <c r="BD5" s="44" t="s">
        <v>286</v>
      </c>
      <c r="BE5" s="44" t="s">
        <v>287</v>
      </c>
      <c r="BF5" s="44" t="s">
        <v>286</v>
      </c>
      <c r="BG5" s="44" t="s">
        <v>287</v>
      </c>
      <c r="BH5" s="44" t="s">
        <v>286</v>
      </c>
      <c r="BI5" s="44" t="s">
        <v>287</v>
      </c>
      <c r="BJ5" s="44" t="s">
        <v>286</v>
      </c>
      <c r="BK5" s="44" t="s">
        <v>287</v>
      </c>
      <c r="BL5" s="44" t="s">
        <v>286</v>
      </c>
      <c r="BM5" s="44" t="s">
        <v>287</v>
      </c>
      <c r="BN5" s="44" t="s">
        <v>286</v>
      </c>
      <c r="BO5" s="44" t="s">
        <v>287</v>
      </c>
      <c r="BP5" s="44" t="s">
        <v>286</v>
      </c>
      <c r="BQ5" s="44" t="s">
        <v>287</v>
      </c>
    </row>
    <row r="6" spans="1:69" x14ac:dyDescent="0.25">
      <c r="A6" s="21" t="s">
        <v>70</v>
      </c>
      <c r="B6" s="21"/>
      <c r="C6" s="21"/>
      <c r="D6" s="21"/>
      <c r="E6" s="21"/>
      <c r="F6" s="21"/>
      <c r="G6" s="21"/>
      <c r="H6" s="21"/>
      <c r="I6" s="21"/>
      <c r="J6" s="21">
        <v>217915</v>
      </c>
      <c r="K6" s="21">
        <v>610684</v>
      </c>
      <c r="L6" s="21">
        <v>19443</v>
      </c>
      <c r="M6" s="21">
        <v>55566</v>
      </c>
      <c r="N6" s="21">
        <v>71682</v>
      </c>
      <c r="O6" s="21">
        <v>263189</v>
      </c>
      <c r="P6" s="21"/>
      <c r="Q6" s="21"/>
      <c r="R6" s="21">
        <v>1659</v>
      </c>
      <c r="S6" s="21">
        <v>148958</v>
      </c>
      <c r="T6" s="21">
        <v>6</v>
      </c>
      <c r="U6" s="21">
        <v>6</v>
      </c>
      <c r="V6" s="21"/>
      <c r="W6" s="21"/>
      <c r="X6" s="21">
        <v>57375</v>
      </c>
      <c r="Y6" s="21">
        <v>156495</v>
      </c>
      <c r="Z6" s="21">
        <v>2752</v>
      </c>
      <c r="AA6" s="21">
        <v>3741</v>
      </c>
      <c r="AB6" s="21">
        <v>171358</v>
      </c>
      <c r="AC6" s="21">
        <v>419863</v>
      </c>
      <c r="AD6" s="21">
        <v>170711</v>
      </c>
      <c r="AE6" s="21">
        <v>436788</v>
      </c>
      <c r="AF6" s="21">
        <v>38025</v>
      </c>
      <c r="AG6" s="21">
        <v>157385</v>
      </c>
      <c r="AH6" s="21">
        <v>5187</v>
      </c>
      <c r="AI6" s="21">
        <v>13084</v>
      </c>
      <c r="AJ6" s="21">
        <v>7892</v>
      </c>
      <c r="AK6" s="21">
        <v>38464</v>
      </c>
      <c r="AL6" s="21">
        <v>15798</v>
      </c>
      <c r="AM6" s="21">
        <v>32672</v>
      </c>
      <c r="AN6" s="21"/>
      <c r="AO6" s="21"/>
      <c r="AP6" s="21">
        <v>160336.67099999997</v>
      </c>
      <c r="AQ6" s="21">
        <v>494468.299</v>
      </c>
      <c r="AR6" s="21">
        <v>749462</v>
      </c>
      <c r="AS6" s="21">
        <v>2428254</v>
      </c>
      <c r="AT6" s="21">
        <v>199251</v>
      </c>
      <c r="AU6" s="21">
        <v>682133</v>
      </c>
      <c r="AV6" s="21">
        <v>584</v>
      </c>
      <c r="AW6" s="21">
        <v>2276</v>
      </c>
      <c r="AX6" s="21">
        <v>73538</v>
      </c>
      <c r="AY6" s="21">
        <v>258344</v>
      </c>
      <c r="AZ6" s="21"/>
      <c r="BA6" s="21"/>
      <c r="BB6" s="21">
        <v>28879</v>
      </c>
      <c r="BC6" s="21">
        <v>113125</v>
      </c>
      <c r="BD6" s="21">
        <v>264795</v>
      </c>
      <c r="BE6" s="21">
        <v>761853</v>
      </c>
      <c r="BF6" s="21">
        <v>6463</v>
      </c>
      <c r="BG6" s="21">
        <v>21999</v>
      </c>
      <c r="BH6" s="21"/>
      <c r="BI6" s="21"/>
      <c r="BJ6" s="21">
        <v>164018</v>
      </c>
      <c r="BK6" s="21">
        <v>499526</v>
      </c>
      <c r="BL6" s="21">
        <v>187150</v>
      </c>
      <c r="BM6" s="21">
        <v>691757</v>
      </c>
      <c r="BN6" s="21">
        <v>30365</v>
      </c>
      <c r="BO6" s="21">
        <v>95834</v>
      </c>
      <c r="BP6" s="21">
        <f>B6+D6+F6+H6+J6+L6+N6+P6+R6+T6+V6+X6+Z6+AB6+AD6+AF6+AH6+AJ6+AL6+AN6+AP6+AR6+AT6+AV6+AX6+AZ6+BB6+BD6+BF6+BH6+BJ6+BL6+BN6</f>
        <v>2644644.6710000001</v>
      </c>
      <c r="BQ6" s="21">
        <f>C6+E6+G6+I6+K6+M6+O6+Q6+S6+U6+W6+Y6+AA6+AC6+AE6+AG6+AI6+AK6+AM6+AO6+AQ6+AS6+AU6+AW6+AY6+BA6+BC6+BE6+BG6+BI6+BK6+BM6+BO6</f>
        <v>8386464.2990000006</v>
      </c>
    </row>
    <row r="7" spans="1:69" x14ac:dyDescent="0.25">
      <c r="A7" s="21" t="s">
        <v>71</v>
      </c>
      <c r="B7" s="21"/>
      <c r="C7" s="21"/>
      <c r="D7" s="21"/>
      <c r="E7" s="21"/>
      <c r="F7" s="21"/>
      <c r="G7" s="21"/>
      <c r="H7" s="21"/>
      <c r="I7" s="21"/>
      <c r="J7" s="21">
        <v>6178</v>
      </c>
      <c r="K7" s="21">
        <v>15224</v>
      </c>
      <c r="L7" s="21">
        <v>1775</v>
      </c>
      <c r="M7" s="21">
        <v>10592</v>
      </c>
      <c r="N7" s="21">
        <v>222</v>
      </c>
      <c r="O7" s="21">
        <v>1057</v>
      </c>
      <c r="P7" s="21"/>
      <c r="Q7" s="21"/>
      <c r="R7" s="21">
        <v>106</v>
      </c>
      <c r="S7" s="21">
        <v>298</v>
      </c>
      <c r="T7" s="21">
        <v>578</v>
      </c>
      <c r="U7" s="21">
        <v>1636</v>
      </c>
      <c r="V7" s="21"/>
      <c r="W7" s="21"/>
      <c r="X7" s="21">
        <v>386</v>
      </c>
      <c r="Y7" s="21">
        <v>4820</v>
      </c>
      <c r="Z7" s="21">
        <v>14960</v>
      </c>
      <c r="AA7" s="21">
        <v>65422</v>
      </c>
      <c r="AB7" s="21">
        <v>10915</v>
      </c>
      <c r="AC7" s="21">
        <v>24923</v>
      </c>
      <c r="AD7" s="21">
        <v>10610</v>
      </c>
      <c r="AE7" s="21">
        <v>54239</v>
      </c>
      <c r="AF7" s="21">
        <v>512</v>
      </c>
      <c r="AG7" s="21">
        <v>9720</v>
      </c>
      <c r="AH7" s="21">
        <v>57</v>
      </c>
      <c r="AI7" s="21">
        <v>281</v>
      </c>
      <c r="AJ7" s="21">
        <v>118</v>
      </c>
      <c r="AK7" s="21">
        <v>549</v>
      </c>
      <c r="AL7" s="21">
        <v>3660</v>
      </c>
      <c r="AM7" s="21">
        <v>11575</v>
      </c>
      <c r="AN7" s="21"/>
      <c r="AO7" s="21"/>
      <c r="AP7" s="21">
        <v>63770.758999999991</v>
      </c>
      <c r="AQ7" s="21">
        <v>132477.07699999999</v>
      </c>
      <c r="AR7" s="21">
        <v>447456</v>
      </c>
      <c r="AS7" s="21">
        <v>1073243</v>
      </c>
      <c r="AT7" s="21">
        <v>63457</v>
      </c>
      <c r="AU7" s="21">
        <v>253619</v>
      </c>
      <c r="AV7" s="21">
        <v>62</v>
      </c>
      <c r="AW7" s="21">
        <v>338</v>
      </c>
      <c r="AX7" s="21">
        <v>2863</v>
      </c>
      <c r="AY7" s="21">
        <v>12717</v>
      </c>
      <c r="AZ7" s="21"/>
      <c r="BA7" s="21"/>
      <c r="BB7" s="21">
        <v>2194</v>
      </c>
      <c r="BC7" s="21">
        <v>9992</v>
      </c>
      <c r="BD7" s="21">
        <v>913</v>
      </c>
      <c r="BE7" s="21">
        <v>3399</v>
      </c>
      <c r="BF7" s="21">
        <v>2001</v>
      </c>
      <c r="BG7" s="21">
        <v>4941</v>
      </c>
      <c r="BH7" s="21"/>
      <c r="BI7" s="21"/>
      <c r="BJ7" s="21">
        <v>2176</v>
      </c>
      <c r="BK7" s="21">
        <v>33805</v>
      </c>
      <c r="BL7" s="21">
        <v>72767</v>
      </c>
      <c r="BM7" s="21">
        <v>178398</v>
      </c>
      <c r="BN7" s="21">
        <v>530</v>
      </c>
      <c r="BO7" s="21">
        <v>2000</v>
      </c>
      <c r="BP7" s="21">
        <f t="shared" ref="BP7:BP9" si="0">B7+D7+F7+H7+J7+L7+N7+P7+R7+T7+V7+X7+Z7+AB7+AD7+AF7+AH7+AJ7+AL7+AN7+AP7+AR7+AT7+AV7+AX7+AZ7+BB7+BD7+BF7+BH7+BJ7+BL7+BN7</f>
        <v>708266.75899999996</v>
      </c>
      <c r="BQ7" s="21">
        <f t="shared" ref="BQ7:BQ9" si="1">C7+E7+G7+I7+K7+M7+O7+Q7+S7+U7+W7+Y7+AA7+AC7+AE7+AG7+AI7+AK7+AM7+AO7+AQ7+AS7+AU7+AW7+AY7+BA7+BC7+BE7+BG7+BI7+BK7+BM7+BO7</f>
        <v>1905265.077</v>
      </c>
    </row>
    <row r="8" spans="1:69" x14ac:dyDescent="0.25">
      <c r="A8" s="21" t="s">
        <v>72</v>
      </c>
      <c r="B8" s="21"/>
      <c r="C8" s="21"/>
      <c r="D8" s="21"/>
      <c r="E8" s="21"/>
      <c r="F8" s="21"/>
      <c r="G8" s="21"/>
      <c r="H8" s="21"/>
      <c r="I8" s="21"/>
      <c r="J8" s="21">
        <v>157872</v>
      </c>
      <c r="K8" s="21">
        <v>854156</v>
      </c>
      <c r="L8" s="21">
        <v>38516</v>
      </c>
      <c r="M8" s="21">
        <v>117998</v>
      </c>
      <c r="N8" s="21">
        <v>755847</v>
      </c>
      <c r="O8" s="21">
        <v>814741</v>
      </c>
      <c r="P8" s="21"/>
      <c r="Q8" s="21"/>
      <c r="R8" s="21">
        <v>-75</v>
      </c>
      <c r="S8" s="21">
        <v>-6768</v>
      </c>
      <c r="T8" s="21">
        <v>988</v>
      </c>
      <c r="U8" s="21">
        <v>2342</v>
      </c>
      <c r="V8" s="21"/>
      <c r="W8" s="21"/>
      <c r="X8" s="21">
        <v>67238</v>
      </c>
      <c r="Y8" s="21">
        <v>143649</v>
      </c>
      <c r="Z8" s="21">
        <v>37883</v>
      </c>
      <c r="AA8" s="21">
        <v>103869</v>
      </c>
      <c r="AB8" s="21">
        <v>-246972</v>
      </c>
      <c r="AC8" s="21">
        <v>-934527</v>
      </c>
      <c r="AD8" s="21">
        <v>267681</v>
      </c>
      <c r="AE8" s="21">
        <v>755469</v>
      </c>
      <c r="AF8" s="21">
        <v>75344</v>
      </c>
      <c r="AG8" s="21">
        <v>316769</v>
      </c>
      <c r="AH8" s="21">
        <v>4693</v>
      </c>
      <c r="AI8" s="21">
        <v>11401</v>
      </c>
      <c r="AJ8" s="21">
        <v>4269</v>
      </c>
      <c r="AK8" s="21">
        <v>24453</v>
      </c>
      <c r="AL8" s="21">
        <v>-35322</v>
      </c>
      <c r="AM8" s="21">
        <v>-74980</v>
      </c>
      <c r="AN8" s="21"/>
      <c r="AO8" s="21"/>
      <c r="AP8" s="21">
        <v>30026.369000000006</v>
      </c>
      <c r="AQ8" s="21">
        <v>120594.90300000001</v>
      </c>
      <c r="AR8" s="21">
        <v>346730</v>
      </c>
      <c r="AS8" s="21">
        <v>911508</v>
      </c>
      <c r="AT8" s="21">
        <v>85034</v>
      </c>
      <c r="AU8" s="21">
        <v>314025</v>
      </c>
      <c r="AV8" s="21">
        <v>721</v>
      </c>
      <c r="AW8" s="21">
        <v>2649</v>
      </c>
      <c r="AX8" s="21">
        <v>64924</v>
      </c>
      <c r="AY8" s="21">
        <v>294281</v>
      </c>
      <c r="AZ8" s="21"/>
      <c r="BA8" s="21"/>
      <c r="BB8" s="21">
        <v>-28431</v>
      </c>
      <c r="BC8" s="21">
        <v>-120959</v>
      </c>
      <c r="BD8" s="21">
        <v>871707</v>
      </c>
      <c r="BE8" s="21">
        <v>2293028</v>
      </c>
      <c r="BF8" s="21">
        <v>2241</v>
      </c>
      <c r="BG8" s="21">
        <v>6702</v>
      </c>
      <c r="BH8" s="21"/>
      <c r="BI8" s="21"/>
      <c r="BJ8" s="21">
        <v>183978</v>
      </c>
      <c r="BK8" s="21">
        <v>652996</v>
      </c>
      <c r="BL8" s="21">
        <v>45366</v>
      </c>
      <c r="BM8" s="21">
        <v>189981</v>
      </c>
      <c r="BN8" s="21">
        <v>11552</v>
      </c>
      <c r="BO8" s="21">
        <v>33038</v>
      </c>
      <c r="BP8" s="21">
        <f t="shared" si="0"/>
        <v>2741810.3689999999</v>
      </c>
      <c r="BQ8" s="21">
        <f t="shared" si="1"/>
        <v>6826415.9029999999</v>
      </c>
    </row>
    <row r="9" spans="1:69" x14ac:dyDescent="0.25">
      <c r="A9" s="21" t="s">
        <v>73</v>
      </c>
      <c r="B9" s="21"/>
      <c r="C9" s="21"/>
      <c r="D9" s="21"/>
      <c r="E9" s="21"/>
      <c r="F9" s="21"/>
      <c r="G9" s="21"/>
      <c r="H9" s="21"/>
      <c r="I9" s="21"/>
      <c r="J9" s="21">
        <v>66221</v>
      </c>
      <c r="K9" s="21">
        <v>-228248</v>
      </c>
      <c r="L9" s="21">
        <v>-17298</v>
      </c>
      <c r="M9" s="21">
        <v>-51840</v>
      </c>
      <c r="N9" s="21">
        <v>-683943</v>
      </c>
      <c r="O9" s="21">
        <v>-550495</v>
      </c>
      <c r="P9" s="21"/>
      <c r="Q9" s="21"/>
      <c r="R9" s="21">
        <v>1690</v>
      </c>
      <c r="S9" s="21">
        <v>142488</v>
      </c>
      <c r="T9" s="21">
        <v>-404</v>
      </c>
      <c r="U9" s="21">
        <v>-700</v>
      </c>
      <c r="V9" s="21"/>
      <c r="W9" s="21"/>
      <c r="X9" s="21">
        <v>-9477</v>
      </c>
      <c r="Y9" s="21">
        <v>17666</v>
      </c>
      <c r="Z9" s="21">
        <v>-20171</v>
      </c>
      <c r="AA9" s="21">
        <v>-34706</v>
      </c>
      <c r="AB9" s="21">
        <v>-64698</v>
      </c>
      <c r="AC9" s="21">
        <v>-489741</v>
      </c>
      <c r="AD9" s="21">
        <v>-86360</v>
      </c>
      <c r="AE9" s="21">
        <v>-264442</v>
      </c>
      <c r="AF9" s="21">
        <v>-36807</v>
      </c>
      <c r="AG9" s="21">
        <v>-149664</v>
      </c>
      <c r="AH9" s="21">
        <v>551</v>
      </c>
      <c r="AI9" s="21">
        <v>1964</v>
      </c>
      <c r="AJ9" s="21">
        <v>3741</v>
      </c>
      <c r="AK9" s="21">
        <v>14560</v>
      </c>
      <c r="AL9" s="21">
        <v>-15864</v>
      </c>
      <c r="AM9" s="21">
        <v>-30733</v>
      </c>
      <c r="AN9" s="21"/>
      <c r="AO9" s="21"/>
      <c r="AP9" s="21">
        <v>194081.06099999996</v>
      </c>
      <c r="AQ9" s="21">
        <v>506350.47299999994</v>
      </c>
      <c r="AR9" s="21">
        <v>850188</v>
      </c>
      <c r="AS9" s="21">
        <v>2589989</v>
      </c>
      <c r="AT9" s="21">
        <v>177674</v>
      </c>
      <c r="AU9" s="21">
        <v>621727</v>
      </c>
      <c r="AV9" s="21">
        <v>-76</v>
      </c>
      <c r="AW9" s="21">
        <v>-35</v>
      </c>
      <c r="AX9" s="21">
        <v>11477</v>
      </c>
      <c r="AY9" s="21">
        <v>-23220</v>
      </c>
      <c r="AZ9" s="21"/>
      <c r="BA9" s="21"/>
      <c r="BB9" s="21">
        <v>2642</v>
      </c>
      <c r="BC9" s="21">
        <v>2158</v>
      </c>
      <c r="BD9" s="21">
        <v>-605999</v>
      </c>
      <c r="BE9" s="21">
        <v>-1527776</v>
      </c>
      <c r="BF9" s="21">
        <v>6223</v>
      </c>
      <c r="BG9" s="21">
        <v>20238</v>
      </c>
      <c r="BH9" s="21"/>
      <c r="BI9" s="21"/>
      <c r="BJ9" s="21">
        <v>-17784</v>
      </c>
      <c r="BK9" s="21">
        <v>-119665</v>
      </c>
      <c r="BL9" s="21">
        <v>214551</v>
      </c>
      <c r="BM9" s="21">
        <v>680174</v>
      </c>
      <c r="BN9" s="21">
        <f>BN6+BN7-BN8</f>
        <v>19343</v>
      </c>
      <c r="BO9" s="21">
        <f>BO6+BO7-BO8</f>
        <v>64796</v>
      </c>
      <c r="BP9" s="21">
        <f t="shared" si="0"/>
        <v>-10498.939000000013</v>
      </c>
      <c r="BQ9" s="21">
        <f t="shared" si="1"/>
        <v>1190845.473</v>
      </c>
    </row>
    <row r="11" spans="1:69" x14ac:dyDescent="0.25">
      <c r="A11" s="13" t="s">
        <v>183</v>
      </c>
    </row>
    <row r="12" spans="1:69" s="15" customFormat="1" x14ac:dyDescent="0.25">
      <c r="A12" s="23" t="s">
        <v>0</v>
      </c>
      <c r="B12" s="111" t="s">
        <v>1</v>
      </c>
      <c r="C12" s="112"/>
      <c r="D12" s="111" t="s">
        <v>2</v>
      </c>
      <c r="E12" s="112"/>
      <c r="F12" s="111" t="s">
        <v>3</v>
      </c>
      <c r="G12" s="112"/>
      <c r="H12" s="111" t="s">
        <v>4</v>
      </c>
      <c r="I12" s="112"/>
      <c r="J12" s="111" t="s">
        <v>5</v>
      </c>
      <c r="K12" s="112"/>
      <c r="L12" s="111" t="s">
        <v>6</v>
      </c>
      <c r="M12" s="112"/>
      <c r="N12" s="111" t="s">
        <v>7</v>
      </c>
      <c r="O12" s="112"/>
      <c r="P12" s="111" t="s">
        <v>8</v>
      </c>
      <c r="Q12" s="112"/>
      <c r="R12" s="111" t="s">
        <v>9</v>
      </c>
      <c r="S12" s="112"/>
      <c r="T12" s="111" t="s">
        <v>10</v>
      </c>
      <c r="U12" s="112"/>
      <c r="V12" s="111" t="s">
        <v>11</v>
      </c>
      <c r="W12" s="112"/>
      <c r="X12" s="111" t="s">
        <v>12</v>
      </c>
      <c r="Y12" s="112"/>
      <c r="Z12" s="111" t="s">
        <v>13</v>
      </c>
      <c r="AA12" s="112"/>
      <c r="AB12" s="111" t="s">
        <v>14</v>
      </c>
      <c r="AC12" s="112"/>
      <c r="AD12" s="111" t="s">
        <v>15</v>
      </c>
      <c r="AE12" s="112"/>
      <c r="AF12" s="111" t="s">
        <v>16</v>
      </c>
      <c r="AG12" s="112"/>
      <c r="AH12" s="111" t="s">
        <v>17</v>
      </c>
      <c r="AI12" s="112"/>
      <c r="AJ12" s="111" t="s">
        <v>18</v>
      </c>
      <c r="AK12" s="112"/>
      <c r="AL12" s="111" t="s">
        <v>19</v>
      </c>
      <c r="AM12" s="112"/>
      <c r="AN12" s="111" t="s">
        <v>20</v>
      </c>
      <c r="AO12" s="112"/>
      <c r="AP12" s="111" t="s">
        <v>21</v>
      </c>
      <c r="AQ12" s="112"/>
      <c r="AR12" s="111" t="s">
        <v>161</v>
      </c>
      <c r="AS12" s="112"/>
      <c r="AT12" s="111" t="s">
        <v>162</v>
      </c>
      <c r="AU12" s="112"/>
      <c r="AV12" s="111" t="s">
        <v>22</v>
      </c>
      <c r="AW12" s="112"/>
      <c r="AX12" s="111" t="s">
        <v>23</v>
      </c>
      <c r="AY12" s="112"/>
      <c r="AZ12" s="111" t="s">
        <v>24</v>
      </c>
      <c r="BA12" s="112"/>
      <c r="BB12" s="111" t="s">
        <v>25</v>
      </c>
      <c r="BC12" s="112"/>
      <c r="BD12" s="111" t="s">
        <v>26</v>
      </c>
      <c r="BE12" s="112"/>
      <c r="BF12" s="111" t="s">
        <v>27</v>
      </c>
      <c r="BG12" s="112"/>
      <c r="BH12" s="111" t="s">
        <v>28</v>
      </c>
      <c r="BI12" s="112"/>
      <c r="BJ12" s="111" t="s">
        <v>29</v>
      </c>
      <c r="BK12" s="112"/>
      <c r="BL12" s="111" t="s">
        <v>30</v>
      </c>
      <c r="BM12" s="112"/>
      <c r="BN12" s="111" t="s">
        <v>31</v>
      </c>
      <c r="BO12" s="112"/>
      <c r="BP12" s="110" t="s">
        <v>304</v>
      </c>
      <c r="BQ12" s="110"/>
    </row>
    <row r="13" spans="1:69" s="43" customFormat="1" ht="44.25" customHeight="1" x14ac:dyDescent="0.25">
      <c r="A13" s="44"/>
      <c r="B13" s="44" t="s">
        <v>286</v>
      </c>
      <c r="C13" s="44" t="s">
        <v>287</v>
      </c>
      <c r="D13" s="44" t="s">
        <v>286</v>
      </c>
      <c r="E13" s="44" t="s">
        <v>287</v>
      </c>
      <c r="F13" s="44" t="s">
        <v>286</v>
      </c>
      <c r="G13" s="44" t="s">
        <v>287</v>
      </c>
      <c r="H13" s="44" t="s">
        <v>286</v>
      </c>
      <c r="I13" s="44" t="s">
        <v>287</v>
      </c>
      <c r="J13" s="44" t="s">
        <v>286</v>
      </c>
      <c r="K13" s="44" t="s">
        <v>287</v>
      </c>
      <c r="L13" s="44" t="s">
        <v>286</v>
      </c>
      <c r="M13" s="44" t="s">
        <v>287</v>
      </c>
      <c r="N13" s="44" t="s">
        <v>286</v>
      </c>
      <c r="O13" s="44" t="s">
        <v>287</v>
      </c>
      <c r="P13" s="44" t="s">
        <v>286</v>
      </c>
      <c r="Q13" s="44" t="s">
        <v>287</v>
      </c>
      <c r="R13" s="44" t="s">
        <v>286</v>
      </c>
      <c r="S13" s="44" t="s">
        <v>287</v>
      </c>
      <c r="T13" s="44" t="s">
        <v>286</v>
      </c>
      <c r="U13" s="44" t="s">
        <v>287</v>
      </c>
      <c r="V13" s="44" t="s">
        <v>286</v>
      </c>
      <c r="W13" s="44" t="s">
        <v>287</v>
      </c>
      <c r="X13" s="44" t="s">
        <v>286</v>
      </c>
      <c r="Y13" s="44" t="s">
        <v>287</v>
      </c>
      <c r="Z13" s="44" t="s">
        <v>286</v>
      </c>
      <c r="AA13" s="44" t="s">
        <v>287</v>
      </c>
      <c r="AB13" s="44" t="s">
        <v>286</v>
      </c>
      <c r="AC13" s="44" t="s">
        <v>287</v>
      </c>
      <c r="AD13" s="44" t="s">
        <v>286</v>
      </c>
      <c r="AE13" s="44" t="s">
        <v>287</v>
      </c>
      <c r="AF13" s="44" t="s">
        <v>286</v>
      </c>
      <c r="AG13" s="44" t="s">
        <v>287</v>
      </c>
      <c r="AH13" s="44" t="s">
        <v>286</v>
      </c>
      <c r="AI13" s="44" t="s">
        <v>287</v>
      </c>
      <c r="AJ13" s="44" t="s">
        <v>286</v>
      </c>
      <c r="AK13" s="44" t="s">
        <v>287</v>
      </c>
      <c r="AL13" s="44" t="s">
        <v>286</v>
      </c>
      <c r="AM13" s="44" t="s">
        <v>287</v>
      </c>
      <c r="AN13" s="44" t="s">
        <v>286</v>
      </c>
      <c r="AO13" s="44" t="s">
        <v>287</v>
      </c>
      <c r="AP13" s="44" t="s">
        <v>286</v>
      </c>
      <c r="AQ13" s="44" t="s">
        <v>287</v>
      </c>
      <c r="AR13" s="44" t="s">
        <v>286</v>
      </c>
      <c r="AS13" s="44" t="s">
        <v>287</v>
      </c>
      <c r="AT13" s="44" t="s">
        <v>286</v>
      </c>
      <c r="AU13" s="44" t="s">
        <v>287</v>
      </c>
      <c r="AV13" s="44" t="s">
        <v>286</v>
      </c>
      <c r="AW13" s="44" t="s">
        <v>287</v>
      </c>
      <c r="AX13" s="44" t="s">
        <v>286</v>
      </c>
      <c r="AY13" s="44" t="s">
        <v>287</v>
      </c>
      <c r="AZ13" s="44" t="s">
        <v>286</v>
      </c>
      <c r="BA13" s="44" t="s">
        <v>287</v>
      </c>
      <c r="BB13" s="44" t="s">
        <v>286</v>
      </c>
      <c r="BC13" s="44" t="s">
        <v>287</v>
      </c>
      <c r="BD13" s="44" t="s">
        <v>286</v>
      </c>
      <c r="BE13" s="44" t="s">
        <v>287</v>
      </c>
      <c r="BF13" s="44" t="s">
        <v>286</v>
      </c>
      <c r="BG13" s="44" t="s">
        <v>287</v>
      </c>
      <c r="BH13" s="44" t="s">
        <v>286</v>
      </c>
      <c r="BI13" s="44" t="s">
        <v>287</v>
      </c>
      <c r="BJ13" s="44" t="s">
        <v>286</v>
      </c>
      <c r="BK13" s="44" t="s">
        <v>287</v>
      </c>
      <c r="BL13" s="44" t="s">
        <v>286</v>
      </c>
      <c r="BM13" s="44" t="s">
        <v>287</v>
      </c>
      <c r="BN13" s="44" t="s">
        <v>286</v>
      </c>
      <c r="BO13" s="44" t="s">
        <v>287</v>
      </c>
      <c r="BP13" s="44" t="s">
        <v>286</v>
      </c>
      <c r="BQ13" s="44" t="s">
        <v>287</v>
      </c>
    </row>
    <row r="14" spans="1:69" x14ac:dyDescent="0.25">
      <c r="A14" s="21" t="s">
        <v>70</v>
      </c>
      <c r="B14" s="21"/>
      <c r="C14" s="21"/>
      <c r="D14" s="21"/>
      <c r="E14" s="21"/>
      <c r="F14" s="21"/>
      <c r="G14" s="21"/>
      <c r="H14" s="21"/>
      <c r="I14" s="21"/>
      <c r="J14" s="21">
        <v>41107</v>
      </c>
      <c r="K14" s="21">
        <v>140383</v>
      </c>
      <c r="L14" s="21">
        <v>6381</v>
      </c>
      <c r="M14" s="21">
        <v>29139</v>
      </c>
      <c r="N14" s="21">
        <v>8826</v>
      </c>
      <c r="O14" s="21">
        <v>29548</v>
      </c>
      <c r="P14" s="21"/>
      <c r="Q14" s="21"/>
      <c r="R14" s="21"/>
      <c r="S14" s="21"/>
      <c r="T14" s="21">
        <v>37</v>
      </c>
      <c r="U14" s="21">
        <v>75</v>
      </c>
      <c r="V14" s="21"/>
      <c r="W14" s="21"/>
      <c r="X14" s="21">
        <v>19306</v>
      </c>
      <c r="Y14" s="21">
        <v>77358</v>
      </c>
      <c r="Z14" s="21">
        <v>4</v>
      </c>
      <c r="AA14" s="21">
        <v>4</v>
      </c>
      <c r="AB14" s="21">
        <v>54440</v>
      </c>
      <c r="AC14" s="21">
        <v>147736</v>
      </c>
      <c r="AD14" s="21">
        <v>97520</v>
      </c>
      <c r="AE14" s="21">
        <v>270661</v>
      </c>
      <c r="AF14" s="21">
        <v>22900</v>
      </c>
      <c r="AG14" s="21">
        <v>85402</v>
      </c>
      <c r="AH14" s="21"/>
      <c r="AI14" s="21"/>
      <c r="AJ14" s="21">
        <v>8057</v>
      </c>
      <c r="AK14" s="21">
        <v>28485</v>
      </c>
      <c r="AL14" s="21">
        <v>1389</v>
      </c>
      <c r="AM14" s="21">
        <v>6145</v>
      </c>
      <c r="AN14" s="21"/>
      <c r="AO14" s="21"/>
      <c r="AP14" s="21">
        <v>55754.838999999978</v>
      </c>
      <c r="AQ14" s="21">
        <v>166593.552</v>
      </c>
      <c r="AR14" s="21">
        <v>167785</v>
      </c>
      <c r="AS14" s="21">
        <v>539816</v>
      </c>
      <c r="AT14" s="21">
        <v>73965</v>
      </c>
      <c r="AU14" s="21">
        <v>212317</v>
      </c>
      <c r="AV14" s="21"/>
      <c r="AW14" s="21"/>
      <c r="AX14" s="21">
        <v>14568</v>
      </c>
      <c r="AY14" s="21">
        <v>63809</v>
      </c>
      <c r="AZ14" s="21"/>
      <c r="BA14" s="21"/>
      <c r="BB14" s="21">
        <v>8126</v>
      </c>
      <c r="BC14" s="21">
        <v>30172</v>
      </c>
      <c r="BD14" s="21">
        <v>5524</v>
      </c>
      <c r="BE14" s="21">
        <v>21224</v>
      </c>
      <c r="BF14" s="21">
        <v>412</v>
      </c>
      <c r="BG14" s="21">
        <v>1847</v>
      </c>
      <c r="BH14" s="21"/>
      <c r="BI14" s="21"/>
      <c r="BJ14" s="21">
        <v>108708</v>
      </c>
      <c r="BK14" s="21">
        <v>396554</v>
      </c>
      <c r="BL14" s="21">
        <v>69179</v>
      </c>
      <c r="BM14" s="21">
        <v>215791</v>
      </c>
      <c r="BN14" s="21">
        <v>1456</v>
      </c>
      <c r="BO14" s="21">
        <v>9455</v>
      </c>
      <c r="BP14" s="21">
        <f t="shared" ref="BP14:BP17" si="2">B14+D14+F14+H14+J14+L14+N14+P14+R14+T14+V14+X14+Z14+AB14+AD14+AF14+AH14+AJ14+AL14+AN14+AP14+AR14+AT14+AV14+AX14+AZ14+BB14+BD14+BF14+BH14+BJ14+BL14+BN14</f>
        <v>765444.83899999992</v>
      </c>
      <c r="BQ14" s="21">
        <f t="shared" ref="BQ14:BQ17" si="3">C14+E14+G14+I14+K14+M14+O14+Q14+S14+U14+W14+Y14+AA14+AC14+AE14+AG14+AI14+AK14+AM14+AO14+AQ14+AS14+AU14+AW14+AY14+BA14+BC14+BE14+BG14+BI14+BK14+BM14+BO14</f>
        <v>2472514.5520000001</v>
      </c>
    </row>
    <row r="15" spans="1:69" x14ac:dyDescent="0.25">
      <c r="A15" s="21" t="s">
        <v>71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>
        <v>240</v>
      </c>
      <c r="M15" s="21">
        <v>2292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v>378</v>
      </c>
      <c r="Y15" s="21">
        <v>757</v>
      </c>
      <c r="Z15" s="21">
        <v>118</v>
      </c>
      <c r="AA15" s="21">
        <v>118</v>
      </c>
      <c r="AB15" s="21">
        <v>149</v>
      </c>
      <c r="AC15" s="21">
        <v>5547</v>
      </c>
      <c r="AD15" s="21">
        <v>3876</v>
      </c>
      <c r="AE15" s="21">
        <v>23114</v>
      </c>
      <c r="AF15" s="21">
        <v>227</v>
      </c>
      <c r="AG15" s="21">
        <v>1534</v>
      </c>
      <c r="AH15" s="21"/>
      <c r="AI15" s="21"/>
      <c r="AJ15" s="21"/>
      <c r="AK15" s="21"/>
      <c r="AL15" s="21">
        <v>479</v>
      </c>
      <c r="AM15" s="21">
        <v>4906</v>
      </c>
      <c r="AN15" s="21"/>
      <c r="AO15" s="21"/>
      <c r="AP15" s="21">
        <v>2007.9179999999999</v>
      </c>
      <c r="AQ15" s="21">
        <v>5300.317</v>
      </c>
      <c r="AR15" s="21">
        <v>18036</v>
      </c>
      <c r="AS15" s="21">
        <v>14339</v>
      </c>
      <c r="AT15" s="21">
        <v>8586</v>
      </c>
      <c r="AU15" s="21">
        <v>37265</v>
      </c>
      <c r="AV15" s="21"/>
      <c r="AW15" s="21"/>
      <c r="AX15" s="21"/>
      <c r="AY15" s="21">
        <v>572</v>
      </c>
      <c r="AZ15" s="21"/>
      <c r="BA15" s="21"/>
      <c r="BB15" s="21"/>
      <c r="BC15" s="21">
        <v>63</v>
      </c>
      <c r="BD15" s="21"/>
      <c r="BE15" s="21"/>
      <c r="BF15" s="21"/>
      <c r="BG15" s="21"/>
      <c r="BH15" s="21"/>
      <c r="BI15" s="21"/>
      <c r="BJ15" s="21">
        <v>506</v>
      </c>
      <c r="BK15" s="21">
        <v>7025</v>
      </c>
      <c r="BL15" s="21">
        <v>3973</v>
      </c>
      <c r="BM15" s="21">
        <v>18084</v>
      </c>
      <c r="BN15" s="21"/>
      <c r="BO15" s="21"/>
      <c r="BP15" s="21">
        <f t="shared" si="2"/>
        <v>38575.917999999998</v>
      </c>
      <c r="BQ15" s="21">
        <f t="shared" si="3"/>
        <v>120916.31700000001</v>
      </c>
    </row>
    <row r="16" spans="1:69" x14ac:dyDescent="0.25">
      <c r="A16" s="21" t="s">
        <v>72</v>
      </c>
      <c r="B16" s="21"/>
      <c r="C16" s="21"/>
      <c r="D16" s="21"/>
      <c r="E16" s="21"/>
      <c r="F16" s="21"/>
      <c r="G16" s="21"/>
      <c r="H16" s="21"/>
      <c r="I16" s="21"/>
      <c r="J16" s="21">
        <v>5443</v>
      </c>
      <c r="K16" s="21">
        <v>24908</v>
      </c>
      <c r="L16" s="21">
        <v>3642</v>
      </c>
      <c r="M16" s="21">
        <v>11119</v>
      </c>
      <c r="N16" s="21">
        <v>14987</v>
      </c>
      <c r="O16" s="21">
        <v>56993</v>
      </c>
      <c r="P16" s="21"/>
      <c r="Q16" s="21"/>
      <c r="R16" s="21"/>
      <c r="S16" s="21"/>
      <c r="T16" s="21">
        <v>45</v>
      </c>
      <c r="U16" s="21">
        <v>90</v>
      </c>
      <c r="V16" s="21"/>
      <c r="W16" s="21"/>
      <c r="X16" s="21">
        <v>3951</v>
      </c>
      <c r="Y16" s="21">
        <v>14802</v>
      </c>
      <c r="Z16" s="21">
        <v>177</v>
      </c>
      <c r="AA16" s="21">
        <v>177</v>
      </c>
      <c r="AB16" s="21">
        <v>-32508</v>
      </c>
      <c r="AC16" s="21">
        <v>-37721</v>
      </c>
      <c r="AD16" s="21">
        <v>16182</v>
      </c>
      <c r="AE16" s="21">
        <v>45562</v>
      </c>
      <c r="AF16" s="21">
        <v>34771</v>
      </c>
      <c r="AG16" s="21">
        <v>106109</v>
      </c>
      <c r="AH16" s="21"/>
      <c r="AI16" s="21"/>
      <c r="AJ16" s="21">
        <v>1035</v>
      </c>
      <c r="AK16" s="21">
        <v>3853</v>
      </c>
      <c r="AL16" s="21">
        <v>-3249</v>
      </c>
      <c r="AM16" s="21">
        <v>-20551</v>
      </c>
      <c r="AN16" s="21"/>
      <c r="AO16" s="21"/>
      <c r="AP16" s="21">
        <v>23238.173000000003</v>
      </c>
      <c r="AQ16" s="21">
        <v>66834.915999999997</v>
      </c>
      <c r="AR16" s="21">
        <v>46755</v>
      </c>
      <c r="AS16" s="21">
        <v>145802</v>
      </c>
      <c r="AT16" s="21">
        <v>26409</v>
      </c>
      <c r="AU16" s="21">
        <v>82387</v>
      </c>
      <c r="AV16" s="21"/>
      <c r="AW16" s="21">
        <v>4</v>
      </c>
      <c r="AX16" s="21">
        <v>17018</v>
      </c>
      <c r="AY16" s="21">
        <v>87050</v>
      </c>
      <c r="AZ16" s="21"/>
      <c r="BA16" s="21"/>
      <c r="BB16" s="21">
        <v>-6341</v>
      </c>
      <c r="BC16" s="21">
        <v>-27582</v>
      </c>
      <c r="BD16" s="21">
        <v>518</v>
      </c>
      <c r="BE16" s="21">
        <v>3282</v>
      </c>
      <c r="BF16" s="21">
        <v>65</v>
      </c>
      <c r="BG16" s="21">
        <v>500</v>
      </c>
      <c r="BH16" s="21"/>
      <c r="BI16" s="21"/>
      <c r="BJ16" s="21">
        <v>12559</v>
      </c>
      <c r="BK16" s="21">
        <v>32095</v>
      </c>
      <c r="BL16" s="21">
        <v>18104</v>
      </c>
      <c r="BM16" s="21">
        <v>48240</v>
      </c>
      <c r="BN16" s="21">
        <f>2467+1124</f>
        <v>3591</v>
      </c>
      <c r="BO16" s="21">
        <f>12065+3226</f>
        <v>15291</v>
      </c>
      <c r="BP16" s="21">
        <f t="shared" si="2"/>
        <v>186392.17300000001</v>
      </c>
      <c r="BQ16" s="21">
        <f t="shared" si="3"/>
        <v>659244.91599999997</v>
      </c>
    </row>
    <row r="17" spans="1:69" x14ac:dyDescent="0.25">
      <c r="A17" s="21" t="s">
        <v>73</v>
      </c>
      <c r="B17" s="21"/>
      <c r="C17" s="21"/>
      <c r="D17" s="21"/>
      <c r="E17" s="21"/>
      <c r="F17" s="21"/>
      <c r="G17" s="21"/>
      <c r="H17" s="21"/>
      <c r="I17" s="21"/>
      <c r="J17" s="21">
        <v>35664</v>
      </c>
      <c r="K17" s="21">
        <v>115475</v>
      </c>
      <c r="L17" s="21">
        <v>2980</v>
      </c>
      <c r="M17" s="21">
        <v>20312</v>
      </c>
      <c r="N17" s="21">
        <v>-6161</v>
      </c>
      <c r="O17" s="21">
        <v>-27445</v>
      </c>
      <c r="P17" s="21"/>
      <c r="Q17" s="21"/>
      <c r="R17" s="21"/>
      <c r="S17" s="21"/>
      <c r="T17" s="21">
        <v>-8</v>
      </c>
      <c r="U17" s="21">
        <v>-15</v>
      </c>
      <c r="V17" s="21"/>
      <c r="W17" s="21"/>
      <c r="X17" s="21">
        <v>15733</v>
      </c>
      <c r="Y17" s="21">
        <v>63313</v>
      </c>
      <c r="Z17" s="21">
        <v>-54</v>
      </c>
      <c r="AA17" s="21">
        <v>-54</v>
      </c>
      <c r="AB17" s="21">
        <v>22081</v>
      </c>
      <c r="AC17" s="21">
        <v>69593</v>
      </c>
      <c r="AD17" s="21">
        <v>85214</v>
      </c>
      <c r="AE17" s="21">
        <v>248213</v>
      </c>
      <c r="AF17" s="21">
        <v>-11644</v>
      </c>
      <c r="AG17" s="21">
        <v>-19173</v>
      </c>
      <c r="AH17" s="21"/>
      <c r="AI17" s="21"/>
      <c r="AJ17" s="21">
        <v>7022</v>
      </c>
      <c r="AK17" s="21">
        <v>24632</v>
      </c>
      <c r="AL17" s="21">
        <v>-1381</v>
      </c>
      <c r="AM17" s="21">
        <v>-9500</v>
      </c>
      <c r="AN17" s="21"/>
      <c r="AO17" s="21"/>
      <c r="AP17" s="21">
        <v>34524.583999999973</v>
      </c>
      <c r="AQ17" s="21">
        <v>105059.95300000001</v>
      </c>
      <c r="AR17" s="21">
        <v>139065</v>
      </c>
      <c r="AS17" s="21">
        <v>408354</v>
      </c>
      <c r="AT17" s="21">
        <v>56142</v>
      </c>
      <c r="AU17" s="21">
        <v>167195</v>
      </c>
      <c r="AV17" s="21"/>
      <c r="AW17" s="21">
        <v>-4</v>
      </c>
      <c r="AX17" s="21">
        <v>-2450</v>
      </c>
      <c r="AY17" s="21">
        <v>-22669</v>
      </c>
      <c r="AZ17" s="21"/>
      <c r="BA17" s="21"/>
      <c r="BB17" s="21">
        <v>1785</v>
      </c>
      <c r="BC17" s="21">
        <v>2653</v>
      </c>
      <c r="BD17" s="21">
        <v>5006</v>
      </c>
      <c r="BE17" s="21">
        <v>17942</v>
      </c>
      <c r="BF17" s="21">
        <v>347</v>
      </c>
      <c r="BG17" s="21">
        <v>1346</v>
      </c>
      <c r="BH17" s="21"/>
      <c r="BI17" s="21"/>
      <c r="BJ17" s="21">
        <v>96655</v>
      </c>
      <c r="BK17" s="21">
        <v>371484</v>
      </c>
      <c r="BL17" s="21">
        <v>55048</v>
      </c>
      <c r="BM17" s="21">
        <v>185635</v>
      </c>
      <c r="BN17" s="21">
        <f>BN14+BN15-BN16</f>
        <v>-2135</v>
      </c>
      <c r="BO17" s="21">
        <f>BO14+BO15-BO16</f>
        <v>-5836</v>
      </c>
      <c r="BP17" s="21">
        <f t="shared" si="2"/>
        <v>533433.58400000003</v>
      </c>
      <c r="BQ17" s="21">
        <f t="shared" si="3"/>
        <v>1716510.953</v>
      </c>
    </row>
    <row r="19" spans="1:69" x14ac:dyDescent="0.25">
      <c r="A19" s="13" t="s">
        <v>184</v>
      </c>
    </row>
    <row r="20" spans="1:69" s="15" customFormat="1" x14ac:dyDescent="0.25">
      <c r="A20" s="23" t="s">
        <v>0</v>
      </c>
      <c r="B20" s="111" t="s">
        <v>1</v>
      </c>
      <c r="C20" s="112"/>
      <c r="D20" s="111" t="s">
        <v>2</v>
      </c>
      <c r="E20" s="112"/>
      <c r="F20" s="111" t="s">
        <v>3</v>
      </c>
      <c r="G20" s="112"/>
      <c r="H20" s="111" t="s">
        <v>4</v>
      </c>
      <c r="I20" s="112"/>
      <c r="J20" s="111" t="s">
        <v>5</v>
      </c>
      <c r="K20" s="112"/>
      <c r="L20" s="111" t="s">
        <v>6</v>
      </c>
      <c r="M20" s="112"/>
      <c r="N20" s="111" t="s">
        <v>7</v>
      </c>
      <c r="O20" s="112"/>
      <c r="P20" s="111" t="s">
        <v>8</v>
      </c>
      <c r="Q20" s="112"/>
      <c r="R20" s="111" t="s">
        <v>9</v>
      </c>
      <c r="S20" s="112"/>
      <c r="T20" s="111" t="s">
        <v>10</v>
      </c>
      <c r="U20" s="112"/>
      <c r="V20" s="111" t="s">
        <v>11</v>
      </c>
      <c r="W20" s="112"/>
      <c r="X20" s="111" t="s">
        <v>12</v>
      </c>
      <c r="Y20" s="112"/>
      <c r="Z20" s="111" t="s">
        <v>13</v>
      </c>
      <c r="AA20" s="112"/>
      <c r="AB20" s="111" t="s">
        <v>14</v>
      </c>
      <c r="AC20" s="112"/>
      <c r="AD20" s="111" t="s">
        <v>15</v>
      </c>
      <c r="AE20" s="112"/>
      <c r="AF20" s="111" t="s">
        <v>16</v>
      </c>
      <c r="AG20" s="112"/>
      <c r="AH20" s="111" t="s">
        <v>17</v>
      </c>
      <c r="AI20" s="112"/>
      <c r="AJ20" s="111" t="s">
        <v>18</v>
      </c>
      <c r="AK20" s="112"/>
      <c r="AL20" s="111" t="s">
        <v>19</v>
      </c>
      <c r="AM20" s="112"/>
      <c r="AN20" s="111" t="s">
        <v>20</v>
      </c>
      <c r="AO20" s="112"/>
      <c r="AP20" s="111" t="s">
        <v>21</v>
      </c>
      <c r="AQ20" s="112"/>
      <c r="AR20" s="111" t="s">
        <v>161</v>
      </c>
      <c r="AS20" s="112"/>
      <c r="AT20" s="111" t="s">
        <v>162</v>
      </c>
      <c r="AU20" s="112"/>
      <c r="AV20" s="111" t="s">
        <v>22</v>
      </c>
      <c r="AW20" s="112"/>
      <c r="AX20" s="111" t="s">
        <v>23</v>
      </c>
      <c r="AY20" s="112"/>
      <c r="AZ20" s="111" t="s">
        <v>24</v>
      </c>
      <c r="BA20" s="112"/>
      <c r="BB20" s="111" t="s">
        <v>25</v>
      </c>
      <c r="BC20" s="112"/>
      <c r="BD20" s="111" t="s">
        <v>26</v>
      </c>
      <c r="BE20" s="112"/>
      <c r="BF20" s="111" t="s">
        <v>27</v>
      </c>
      <c r="BG20" s="112"/>
      <c r="BH20" s="111" t="s">
        <v>28</v>
      </c>
      <c r="BI20" s="112"/>
      <c r="BJ20" s="111" t="s">
        <v>29</v>
      </c>
      <c r="BK20" s="112"/>
      <c r="BL20" s="111" t="s">
        <v>30</v>
      </c>
      <c r="BM20" s="112"/>
      <c r="BN20" s="111" t="s">
        <v>31</v>
      </c>
      <c r="BO20" s="112"/>
      <c r="BP20" s="110" t="s">
        <v>304</v>
      </c>
      <c r="BQ20" s="110"/>
    </row>
    <row r="21" spans="1:69" s="43" customFormat="1" ht="44.25" customHeight="1" x14ac:dyDescent="0.25">
      <c r="A21" s="44"/>
      <c r="B21" s="44" t="s">
        <v>286</v>
      </c>
      <c r="C21" s="44" t="s">
        <v>287</v>
      </c>
      <c r="D21" s="44" t="s">
        <v>286</v>
      </c>
      <c r="E21" s="44" t="s">
        <v>287</v>
      </c>
      <c r="F21" s="44" t="s">
        <v>286</v>
      </c>
      <c r="G21" s="44" t="s">
        <v>287</v>
      </c>
      <c r="H21" s="44" t="s">
        <v>286</v>
      </c>
      <c r="I21" s="44" t="s">
        <v>287</v>
      </c>
      <c r="J21" s="44" t="s">
        <v>286</v>
      </c>
      <c r="K21" s="44" t="s">
        <v>287</v>
      </c>
      <c r="L21" s="44" t="s">
        <v>286</v>
      </c>
      <c r="M21" s="44" t="s">
        <v>287</v>
      </c>
      <c r="N21" s="44" t="s">
        <v>286</v>
      </c>
      <c r="O21" s="44" t="s">
        <v>287</v>
      </c>
      <c r="P21" s="44" t="s">
        <v>286</v>
      </c>
      <c r="Q21" s="44" t="s">
        <v>287</v>
      </c>
      <c r="R21" s="44" t="s">
        <v>286</v>
      </c>
      <c r="S21" s="44" t="s">
        <v>287</v>
      </c>
      <c r="T21" s="44" t="s">
        <v>286</v>
      </c>
      <c r="U21" s="44" t="s">
        <v>287</v>
      </c>
      <c r="V21" s="44" t="s">
        <v>286</v>
      </c>
      <c r="W21" s="44" t="s">
        <v>287</v>
      </c>
      <c r="X21" s="44" t="s">
        <v>286</v>
      </c>
      <c r="Y21" s="44" t="s">
        <v>287</v>
      </c>
      <c r="Z21" s="44" t="s">
        <v>286</v>
      </c>
      <c r="AA21" s="44" t="s">
        <v>287</v>
      </c>
      <c r="AB21" s="44" t="s">
        <v>286</v>
      </c>
      <c r="AC21" s="44" t="s">
        <v>287</v>
      </c>
      <c r="AD21" s="44" t="s">
        <v>286</v>
      </c>
      <c r="AE21" s="44" t="s">
        <v>287</v>
      </c>
      <c r="AF21" s="44" t="s">
        <v>286</v>
      </c>
      <c r="AG21" s="44" t="s">
        <v>287</v>
      </c>
      <c r="AH21" s="44" t="s">
        <v>286</v>
      </c>
      <c r="AI21" s="44" t="s">
        <v>287</v>
      </c>
      <c r="AJ21" s="44" t="s">
        <v>286</v>
      </c>
      <c r="AK21" s="44" t="s">
        <v>287</v>
      </c>
      <c r="AL21" s="44" t="s">
        <v>286</v>
      </c>
      <c r="AM21" s="44" t="s">
        <v>287</v>
      </c>
      <c r="AN21" s="44" t="s">
        <v>286</v>
      </c>
      <c r="AO21" s="44" t="s">
        <v>287</v>
      </c>
      <c r="AP21" s="44" t="s">
        <v>286</v>
      </c>
      <c r="AQ21" s="44" t="s">
        <v>287</v>
      </c>
      <c r="AR21" s="44" t="s">
        <v>286</v>
      </c>
      <c r="AS21" s="44" t="s">
        <v>287</v>
      </c>
      <c r="AT21" s="44" t="s">
        <v>286</v>
      </c>
      <c r="AU21" s="44" t="s">
        <v>287</v>
      </c>
      <c r="AV21" s="44" t="s">
        <v>286</v>
      </c>
      <c r="AW21" s="44" t="s">
        <v>287</v>
      </c>
      <c r="AX21" s="44" t="s">
        <v>286</v>
      </c>
      <c r="AY21" s="44" t="s">
        <v>287</v>
      </c>
      <c r="AZ21" s="44" t="s">
        <v>286</v>
      </c>
      <c r="BA21" s="44" t="s">
        <v>287</v>
      </c>
      <c r="BB21" s="44" t="s">
        <v>286</v>
      </c>
      <c r="BC21" s="44" t="s">
        <v>287</v>
      </c>
      <c r="BD21" s="44" t="s">
        <v>286</v>
      </c>
      <c r="BE21" s="44" t="s">
        <v>287</v>
      </c>
      <c r="BF21" s="44" t="s">
        <v>286</v>
      </c>
      <c r="BG21" s="44" t="s">
        <v>287</v>
      </c>
      <c r="BH21" s="44" t="s">
        <v>286</v>
      </c>
      <c r="BI21" s="44" t="s">
        <v>287</v>
      </c>
      <c r="BJ21" s="44" t="s">
        <v>286</v>
      </c>
      <c r="BK21" s="44" t="s">
        <v>287</v>
      </c>
      <c r="BL21" s="44" t="s">
        <v>286</v>
      </c>
      <c r="BM21" s="44" t="s">
        <v>287</v>
      </c>
      <c r="BN21" s="44" t="s">
        <v>286</v>
      </c>
      <c r="BO21" s="44" t="s">
        <v>287</v>
      </c>
      <c r="BP21" s="44" t="s">
        <v>286</v>
      </c>
      <c r="BQ21" s="44" t="s">
        <v>287</v>
      </c>
    </row>
    <row r="22" spans="1:69" x14ac:dyDescent="0.25">
      <c r="A22" s="21" t="s">
        <v>70</v>
      </c>
      <c r="B22" s="21">
        <v>4994</v>
      </c>
      <c r="C22" s="21">
        <v>5428</v>
      </c>
      <c r="D22" s="21"/>
      <c r="E22" s="21"/>
      <c r="F22" s="21"/>
      <c r="G22" s="21"/>
      <c r="H22" s="21"/>
      <c r="I22" s="21"/>
      <c r="J22" s="21">
        <v>1263311</v>
      </c>
      <c r="K22" s="21">
        <v>3325635</v>
      </c>
      <c r="L22" s="21">
        <v>330223</v>
      </c>
      <c r="M22" s="21">
        <v>896766</v>
      </c>
      <c r="N22" s="21">
        <v>447965</v>
      </c>
      <c r="O22" s="21">
        <v>1209928</v>
      </c>
      <c r="P22" s="21"/>
      <c r="Q22" s="21"/>
      <c r="R22" s="21"/>
      <c r="S22" s="21">
        <v>1</v>
      </c>
      <c r="T22" s="21">
        <v>3126</v>
      </c>
      <c r="U22" s="21">
        <v>3230</v>
      </c>
      <c r="V22" s="21"/>
      <c r="W22" s="21"/>
      <c r="X22" s="21">
        <f>23199+191710</f>
        <v>214909</v>
      </c>
      <c r="Y22" s="21">
        <f>46660+480508</f>
        <v>527168</v>
      </c>
      <c r="Z22" s="21">
        <v>70330</v>
      </c>
      <c r="AA22" s="21">
        <v>170574</v>
      </c>
      <c r="AB22" s="21">
        <v>858623</v>
      </c>
      <c r="AC22" s="21">
        <v>2230792</v>
      </c>
      <c r="AD22" s="21">
        <v>2022967</v>
      </c>
      <c r="AE22" s="21">
        <v>4945220</v>
      </c>
      <c r="AF22" s="21">
        <v>836512</v>
      </c>
      <c r="AG22" s="21">
        <v>2375409</v>
      </c>
      <c r="AH22" s="21">
        <v>49552</v>
      </c>
      <c r="AI22" s="21">
        <v>120921</v>
      </c>
      <c r="AJ22" s="21">
        <f>4255+219950</f>
        <v>224205</v>
      </c>
      <c r="AK22" s="21">
        <f>9256+600654</f>
        <v>609910</v>
      </c>
      <c r="AL22" s="21">
        <v>120764</v>
      </c>
      <c r="AM22" s="21">
        <v>309177</v>
      </c>
      <c r="AN22" s="21"/>
      <c r="AO22" s="21"/>
      <c r="AP22" s="21">
        <v>1818989.7000000002</v>
      </c>
      <c r="AQ22" s="21">
        <v>3814177.344</v>
      </c>
      <c r="AR22" s="21">
        <v>2733870</v>
      </c>
      <c r="AS22" s="21">
        <v>7316575</v>
      </c>
      <c r="AT22" s="21">
        <v>829266</v>
      </c>
      <c r="AU22" s="21">
        <v>2325953</v>
      </c>
      <c r="AV22" s="21">
        <f>49+2374</f>
        <v>2423</v>
      </c>
      <c r="AW22" s="21">
        <f>193+6956</f>
        <v>7149</v>
      </c>
      <c r="AX22" s="21">
        <v>675897</v>
      </c>
      <c r="AY22" s="21">
        <v>2025339</v>
      </c>
      <c r="AZ22" s="21"/>
      <c r="BA22" s="21"/>
      <c r="BB22" s="21">
        <v>411486</v>
      </c>
      <c r="BC22" s="21">
        <v>1362012</v>
      </c>
      <c r="BD22" s="21">
        <v>288033</v>
      </c>
      <c r="BE22" s="21">
        <v>892851</v>
      </c>
      <c r="BF22" s="21">
        <v>221432</v>
      </c>
      <c r="BG22" s="21">
        <v>617290</v>
      </c>
      <c r="BH22" s="21"/>
      <c r="BI22" s="21"/>
      <c r="BJ22" s="21">
        <v>980290</v>
      </c>
      <c r="BK22" s="21">
        <v>2740126</v>
      </c>
      <c r="BL22" s="21">
        <v>939410</v>
      </c>
      <c r="BM22" s="21">
        <v>2166397</v>
      </c>
      <c r="BN22" s="21">
        <f>183357+2236</f>
        <v>185593</v>
      </c>
      <c r="BO22" s="21">
        <f>448849+3768</f>
        <v>452617</v>
      </c>
      <c r="BP22" s="21">
        <f t="shared" ref="BP22:BP25" si="4">B22+D22+F22+H22+J22+L22+N22+P22+R22+T22+V22+X22+Z22+AB22+AD22+AF22+AH22+AJ22+AL22+AN22+AP22+AR22+AT22+AV22+AX22+AZ22+BB22+BD22+BF22+BH22+BJ22+BL22+BN22</f>
        <v>15534170.699999999</v>
      </c>
      <c r="BQ22" s="21">
        <f t="shared" ref="BQ22:BQ25" si="5">C22+E22+G22+I22+K22+M22+O22+Q22+S22+U22+W22+Y22+AA22+AC22+AE22+AG22+AI22+AK22+AM22+AO22+AQ22+AS22+AU22+AW22+AY22+BA22+BC22+BE22+BG22+BI22+BK22+BM22+BO22</f>
        <v>40450645.343999997</v>
      </c>
    </row>
    <row r="23" spans="1:69" x14ac:dyDescent="0.25">
      <c r="A23" s="21" t="s">
        <v>71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>
        <v>36</v>
      </c>
      <c r="AE23" s="21">
        <v>36</v>
      </c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>
        <v>39.9</v>
      </c>
      <c r="AQ23" s="21">
        <v>39.9</v>
      </c>
      <c r="AR23" s="21">
        <v>-2321</v>
      </c>
      <c r="AS23" s="21">
        <v>27523</v>
      </c>
      <c r="AT23" s="21">
        <v>1193</v>
      </c>
      <c r="AU23" s="21">
        <v>1796</v>
      </c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>
        <v>2951</v>
      </c>
      <c r="BK23" s="21">
        <v>3766</v>
      </c>
      <c r="BL23" s="21"/>
      <c r="BM23" s="21"/>
      <c r="BN23" s="21"/>
      <c r="BO23" s="21"/>
      <c r="BP23" s="21">
        <f t="shared" si="4"/>
        <v>1898.9</v>
      </c>
      <c r="BQ23" s="21">
        <f t="shared" si="5"/>
        <v>33160.9</v>
      </c>
    </row>
    <row r="24" spans="1:69" x14ac:dyDescent="0.25">
      <c r="A24" s="21" t="s">
        <v>72</v>
      </c>
      <c r="B24" s="21">
        <v>11693</v>
      </c>
      <c r="C24" s="21">
        <v>15483</v>
      </c>
      <c r="D24" s="21"/>
      <c r="E24" s="21"/>
      <c r="F24" s="21"/>
      <c r="G24" s="21"/>
      <c r="H24" s="21"/>
      <c r="I24" s="21"/>
      <c r="J24" s="21">
        <v>60770</v>
      </c>
      <c r="K24" s="21">
        <v>162030</v>
      </c>
      <c r="L24" s="21">
        <v>16568</v>
      </c>
      <c r="M24" s="21">
        <v>43842</v>
      </c>
      <c r="N24" s="21">
        <v>340925</v>
      </c>
      <c r="O24" s="21">
        <v>780081</v>
      </c>
      <c r="P24" s="21"/>
      <c r="Q24" s="21"/>
      <c r="R24" s="21">
        <v>-116</v>
      </c>
      <c r="S24" s="21">
        <v>-123</v>
      </c>
      <c r="T24" s="21">
        <v>316</v>
      </c>
      <c r="U24" s="21">
        <v>326</v>
      </c>
      <c r="V24" s="21"/>
      <c r="W24" s="21"/>
      <c r="X24" s="21">
        <f>3689+9645</f>
        <v>13334</v>
      </c>
      <c r="Y24" s="21">
        <f>11233+26955</f>
        <v>38188</v>
      </c>
      <c r="Z24" s="21">
        <v>18314</v>
      </c>
      <c r="AA24" s="21">
        <v>39755</v>
      </c>
      <c r="AB24" s="21">
        <v>-363453</v>
      </c>
      <c r="AC24" s="21">
        <v>-920884</v>
      </c>
      <c r="AD24" s="21">
        <v>425913</v>
      </c>
      <c r="AE24" s="21">
        <v>996713</v>
      </c>
      <c r="AF24" s="21">
        <v>284611</v>
      </c>
      <c r="AG24" s="21">
        <v>756551</v>
      </c>
      <c r="AH24" s="21">
        <v>3055</v>
      </c>
      <c r="AI24" s="21">
        <v>7279</v>
      </c>
      <c r="AJ24" s="21">
        <f>2302+8884</f>
        <v>11186</v>
      </c>
      <c r="AK24" s="21">
        <f>5625+24040</f>
        <v>29665</v>
      </c>
      <c r="AL24" s="21">
        <v>-260370</v>
      </c>
      <c r="AM24" s="21">
        <v>-388776</v>
      </c>
      <c r="AN24" s="21"/>
      <c r="AO24" s="21"/>
      <c r="AP24" s="21">
        <v>219636.46200000003</v>
      </c>
      <c r="AQ24" s="21">
        <v>647835.24900000007</v>
      </c>
      <c r="AR24" s="21">
        <v>93425</v>
      </c>
      <c r="AS24" s="21">
        <v>278086</v>
      </c>
      <c r="AT24" s="21">
        <v>53833</v>
      </c>
      <c r="AU24" s="21">
        <v>154484</v>
      </c>
      <c r="AV24" s="21">
        <f>4+1165</f>
        <v>1169</v>
      </c>
      <c r="AW24" s="21">
        <f>16+3440</f>
        <v>3456</v>
      </c>
      <c r="AX24" s="21">
        <v>528893</v>
      </c>
      <c r="AY24" s="21">
        <v>1297132</v>
      </c>
      <c r="AZ24" s="21"/>
      <c r="BA24" s="21"/>
      <c r="BB24" s="21">
        <v>-215124</v>
      </c>
      <c r="BC24" s="21">
        <v>-742357</v>
      </c>
      <c r="BD24" s="21">
        <v>12950</v>
      </c>
      <c r="BE24" s="21">
        <v>39929</v>
      </c>
      <c r="BF24" s="21">
        <v>20602</v>
      </c>
      <c r="BG24" s="21">
        <v>59829</v>
      </c>
      <c r="BH24" s="21"/>
      <c r="BI24" s="21"/>
      <c r="BJ24" s="21">
        <v>494987</v>
      </c>
      <c r="BK24" s="21">
        <v>1343739</v>
      </c>
      <c r="BL24" s="21">
        <v>64434</v>
      </c>
      <c r="BM24" s="21">
        <v>188346</v>
      </c>
      <c r="BN24" s="21">
        <f>6684+2874</f>
        <v>9558</v>
      </c>
      <c r="BO24" s="21">
        <f>16662+6200</f>
        <v>22862</v>
      </c>
      <c r="BP24" s="21">
        <f t="shared" si="4"/>
        <v>1847109.4620000001</v>
      </c>
      <c r="BQ24" s="21">
        <f t="shared" si="5"/>
        <v>4853471.2489999998</v>
      </c>
    </row>
    <row r="25" spans="1:69" x14ac:dyDescent="0.25">
      <c r="A25" s="21" t="s">
        <v>73</v>
      </c>
      <c r="B25" s="21">
        <v>-6699</v>
      </c>
      <c r="C25" s="21">
        <v>-10055</v>
      </c>
      <c r="D25" s="21"/>
      <c r="E25" s="21"/>
      <c r="F25" s="21"/>
      <c r="G25" s="21"/>
      <c r="H25" s="21"/>
      <c r="I25" s="21"/>
      <c r="J25" s="21">
        <v>1202541</v>
      </c>
      <c r="K25" s="21">
        <v>3163605</v>
      </c>
      <c r="L25" s="21">
        <v>313655</v>
      </c>
      <c r="M25" s="21">
        <v>852924</v>
      </c>
      <c r="N25" s="21">
        <v>107040</v>
      </c>
      <c r="O25" s="21">
        <v>429847</v>
      </c>
      <c r="P25" s="21"/>
      <c r="Q25" s="21"/>
      <c r="R25" s="21">
        <v>-115</v>
      </c>
      <c r="S25" s="21">
        <v>-122</v>
      </c>
      <c r="T25" s="21">
        <v>2810</v>
      </c>
      <c r="U25" s="21">
        <v>2904</v>
      </c>
      <c r="V25" s="21"/>
      <c r="W25" s="21"/>
      <c r="X25" s="21">
        <f>19510+182065</f>
        <v>201575</v>
      </c>
      <c r="Y25" s="21">
        <f>35427+453553</f>
        <v>488980</v>
      </c>
      <c r="Z25" s="21">
        <v>52017</v>
      </c>
      <c r="AA25" s="21">
        <v>130819</v>
      </c>
      <c r="AB25" s="21">
        <v>495169</v>
      </c>
      <c r="AC25" s="21">
        <v>1309909</v>
      </c>
      <c r="AD25" s="21">
        <v>1597090</v>
      </c>
      <c r="AE25" s="21">
        <v>3948543</v>
      </c>
      <c r="AF25" s="21">
        <v>551901</v>
      </c>
      <c r="AG25" s="21">
        <v>1618858</v>
      </c>
      <c r="AH25" s="21">
        <v>46497</v>
      </c>
      <c r="AI25" s="21">
        <v>113642</v>
      </c>
      <c r="AJ25" s="21">
        <f>1953+211066</f>
        <v>213019</v>
      </c>
      <c r="AK25" s="21">
        <f>3632+576614</f>
        <v>580246</v>
      </c>
      <c r="AL25" s="21">
        <v>-139606</v>
      </c>
      <c r="AM25" s="21">
        <v>-79599</v>
      </c>
      <c r="AN25" s="21"/>
      <c r="AO25" s="21"/>
      <c r="AP25" s="21">
        <v>1599393.138</v>
      </c>
      <c r="AQ25" s="21">
        <v>3166381.9950000001</v>
      </c>
      <c r="AR25" s="21">
        <v>2638124</v>
      </c>
      <c r="AS25" s="21">
        <v>7066012</v>
      </c>
      <c r="AT25" s="21">
        <v>776626</v>
      </c>
      <c r="AU25" s="21">
        <v>2173265</v>
      </c>
      <c r="AV25" s="21">
        <f>46+1209</f>
        <v>1255</v>
      </c>
      <c r="AW25" s="21">
        <f>177+3517</f>
        <v>3694</v>
      </c>
      <c r="AX25" s="21">
        <v>147004</v>
      </c>
      <c r="AY25" s="21">
        <v>728207</v>
      </c>
      <c r="AZ25" s="21"/>
      <c r="BA25" s="21"/>
      <c r="BB25" s="21">
        <v>196362</v>
      </c>
      <c r="BC25" s="21">
        <v>619655</v>
      </c>
      <c r="BD25" s="21">
        <v>275083</v>
      </c>
      <c r="BE25" s="21">
        <v>852922</v>
      </c>
      <c r="BF25" s="21">
        <v>200829</v>
      </c>
      <c r="BG25" s="21">
        <v>557461</v>
      </c>
      <c r="BH25" s="21"/>
      <c r="BI25" s="21"/>
      <c r="BJ25" s="21">
        <v>488254</v>
      </c>
      <c r="BK25" s="21">
        <v>1400153</v>
      </c>
      <c r="BL25" s="21">
        <v>874976</v>
      </c>
      <c r="BM25" s="21">
        <v>1978051</v>
      </c>
      <c r="BN25" s="21">
        <f>BN22+BN23-BN24</f>
        <v>176035</v>
      </c>
      <c r="BO25" s="21">
        <f>BO22+BO23-BO24</f>
        <v>429755</v>
      </c>
      <c r="BP25" s="21">
        <f t="shared" si="4"/>
        <v>12010835.138</v>
      </c>
      <c r="BQ25" s="21">
        <f t="shared" si="5"/>
        <v>31526057.995000001</v>
      </c>
    </row>
    <row r="27" spans="1:69" x14ac:dyDescent="0.25">
      <c r="A27" s="13" t="s">
        <v>157</v>
      </c>
    </row>
    <row r="28" spans="1:69" s="15" customFormat="1" x14ac:dyDescent="0.25">
      <c r="A28" s="23" t="s">
        <v>0</v>
      </c>
      <c r="B28" s="111" t="s">
        <v>1</v>
      </c>
      <c r="C28" s="112"/>
      <c r="D28" s="111" t="s">
        <v>2</v>
      </c>
      <c r="E28" s="112"/>
      <c r="F28" s="111" t="s">
        <v>3</v>
      </c>
      <c r="G28" s="112"/>
      <c r="H28" s="111" t="s">
        <v>4</v>
      </c>
      <c r="I28" s="112"/>
      <c r="J28" s="111" t="s">
        <v>5</v>
      </c>
      <c r="K28" s="112"/>
      <c r="L28" s="111" t="s">
        <v>6</v>
      </c>
      <c r="M28" s="112"/>
      <c r="N28" s="111" t="s">
        <v>7</v>
      </c>
      <c r="O28" s="112"/>
      <c r="P28" s="111" t="s">
        <v>8</v>
      </c>
      <c r="Q28" s="112"/>
      <c r="R28" s="111" t="s">
        <v>9</v>
      </c>
      <c r="S28" s="112"/>
      <c r="T28" s="111" t="s">
        <v>10</v>
      </c>
      <c r="U28" s="112"/>
      <c r="V28" s="111" t="s">
        <v>11</v>
      </c>
      <c r="W28" s="112"/>
      <c r="X28" s="111" t="s">
        <v>12</v>
      </c>
      <c r="Y28" s="112"/>
      <c r="Z28" s="111" t="s">
        <v>13</v>
      </c>
      <c r="AA28" s="112"/>
      <c r="AB28" s="111" t="s">
        <v>14</v>
      </c>
      <c r="AC28" s="112"/>
      <c r="AD28" s="111" t="s">
        <v>15</v>
      </c>
      <c r="AE28" s="112"/>
      <c r="AF28" s="111" t="s">
        <v>16</v>
      </c>
      <c r="AG28" s="112"/>
      <c r="AH28" s="111" t="s">
        <v>17</v>
      </c>
      <c r="AI28" s="112"/>
      <c r="AJ28" s="111" t="s">
        <v>18</v>
      </c>
      <c r="AK28" s="112"/>
      <c r="AL28" s="111" t="s">
        <v>19</v>
      </c>
      <c r="AM28" s="112"/>
      <c r="AN28" s="111" t="s">
        <v>20</v>
      </c>
      <c r="AO28" s="112"/>
      <c r="AP28" s="111" t="s">
        <v>21</v>
      </c>
      <c r="AQ28" s="112"/>
      <c r="AR28" s="111" t="s">
        <v>161</v>
      </c>
      <c r="AS28" s="112"/>
      <c r="AT28" s="111" t="s">
        <v>162</v>
      </c>
      <c r="AU28" s="112"/>
      <c r="AV28" s="111" t="s">
        <v>22</v>
      </c>
      <c r="AW28" s="112"/>
      <c r="AX28" s="111" t="s">
        <v>23</v>
      </c>
      <c r="AY28" s="112"/>
      <c r="AZ28" s="111" t="s">
        <v>24</v>
      </c>
      <c r="BA28" s="112"/>
      <c r="BB28" s="111" t="s">
        <v>25</v>
      </c>
      <c r="BC28" s="112"/>
      <c r="BD28" s="111" t="s">
        <v>26</v>
      </c>
      <c r="BE28" s="112"/>
      <c r="BF28" s="111" t="s">
        <v>27</v>
      </c>
      <c r="BG28" s="112"/>
      <c r="BH28" s="111" t="s">
        <v>28</v>
      </c>
      <c r="BI28" s="112"/>
      <c r="BJ28" s="111" t="s">
        <v>29</v>
      </c>
      <c r="BK28" s="112"/>
      <c r="BL28" s="111" t="s">
        <v>30</v>
      </c>
      <c r="BM28" s="112"/>
      <c r="BN28" s="111" t="s">
        <v>31</v>
      </c>
      <c r="BO28" s="112"/>
      <c r="BP28" s="110" t="s">
        <v>304</v>
      </c>
      <c r="BQ28" s="110"/>
    </row>
    <row r="29" spans="1:69" s="43" customFormat="1" ht="44.25" customHeight="1" x14ac:dyDescent="0.25">
      <c r="A29" s="44"/>
      <c r="B29" s="44" t="s">
        <v>286</v>
      </c>
      <c r="C29" s="44" t="s">
        <v>287</v>
      </c>
      <c r="D29" s="44" t="s">
        <v>286</v>
      </c>
      <c r="E29" s="44" t="s">
        <v>287</v>
      </c>
      <c r="F29" s="44" t="s">
        <v>286</v>
      </c>
      <c r="G29" s="44" t="s">
        <v>287</v>
      </c>
      <c r="H29" s="44" t="s">
        <v>286</v>
      </c>
      <c r="I29" s="44" t="s">
        <v>287</v>
      </c>
      <c r="J29" s="44" t="s">
        <v>286</v>
      </c>
      <c r="K29" s="44" t="s">
        <v>287</v>
      </c>
      <c r="L29" s="44" t="s">
        <v>286</v>
      </c>
      <c r="M29" s="44" t="s">
        <v>287</v>
      </c>
      <c r="N29" s="44" t="s">
        <v>286</v>
      </c>
      <c r="O29" s="44" t="s">
        <v>287</v>
      </c>
      <c r="P29" s="44" t="s">
        <v>286</v>
      </c>
      <c r="Q29" s="44" t="s">
        <v>287</v>
      </c>
      <c r="R29" s="44" t="s">
        <v>286</v>
      </c>
      <c r="S29" s="44" t="s">
        <v>287</v>
      </c>
      <c r="T29" s="44" t="s">
        <v>286</v>
      </c>
      <c r="U29" s="44" t="s">
        <v>287</v>
      </c>
      <c r="V29" s="44" t="s">
        <v>286</v>
      </c>
      <c r="W29" s="44" t="s">
        <v>287</v>
      </c>
      <c r="X29" s="44" t="s">
        <v>286</v>
      </c>
      <c r="Y29" s="44" t="s">
        <v>287</v>
      </c>
      <c r="Z29" s="44" t="s">
        <v>286</v>
      </c>
      <c r="AA29" s="44" t="s">
        <v>287</v>
      </c>
      <c r="AB29" s="44" t="s">
        <v>286</v>
      </c>
      <c r="AC29" s="44" t="s">
        <v>287</v>
      </c>
      <c r="AD29" s="44" t="s">
        <v>286</v>
      </c>
      <c r="AE29" s="44" t="s">
        <v>287</v>
      </c>
      <c r="AF29" s="44" t="s">
        <v>286</v>
      </c>
      <c r="AG29" s="44" t="s">
        <v>287</v>
      </c>
      <c r="AH29" s="44" t="s">
        <v>286</v>
      </c>
      <c r="AI29" s="44" t="s">
        <v>287</v>
      </c>
      <c r="AJ29" s="44" t="s">
        <v>286</v>
      </c>
      <c r="AK29" s="44" t="s">
        <v>287</v>
      </c>
      <c r="AL29" s="44" t="s">
        <v>286</v>
      </c>
      <c r="AM29" s="44" t="s">
        <v>287</v>
      </c>
      <c r="AN29" s="44" t="s">
        <v>286</v>
      </c>
      <c r="AO29" s="44" t="s">
        <v>287</v>
      </c>
      <c r="AP29" s="44" t="s">
        <v>286</v>
      </c>
      <c r="AQ29" s="44" t="s">
        <v>287</v>
      </c>
      <c r="AR29" s="44" t="s">
        <v>286</v>
      </c>
      <c r="AS29" s="44" t="s">
        <v>287</v>
      </c>
      <c r="AT29" s="44" t="s">
        <v>286</v>
      </c>
      <c r="AU29" s="44" t="s">
        <v>287</v>
      </c>
      <c r="AV29" s="44" t="s">
        <v>286</v>
      </c>
      <c r="AW29" s="44" t="s">
        <v>287</v>
      </c>
      <c r="AX29" s="44" t="s">
        <v>286</v>
      </c>
      <c r="AY29" s="44" t="s">
        <v>287</v>
      </c>
      <c r="AZ29" s="44" t="s">
        <v>286</v>
      </c>
      <c r="BA29" s="44" t="s">
        <v>287</v>
      </c>
      <c r="BB29" s="44" t="s">
        <v>286</v>
      </c>
      <c r="BC29" s="44" t="s">
        <v>287</v>
      </c>
      <c r="BD29" s="44" t="s">
        <v>286</v>
      </c>
      <c r="BE29" s="44" t="s">
        <v>287</v>
      </c>
      <c r="BF29" s="44" t="s">
        <v>286</v>
      </c>
      <c r="BG29" s="44" t="s">
        <v>287</v>
      </c>
      <c r="BH29" s="44" t="s">
        <v>286</v>
      </c>
      <c r="BI29" s="44" t="s">
        <v>287</v>
      </c>
      <c r="BJ29" s="44" t="s">
        <v>286</v>
      </c>
      <c r="BK29" s="44" t="s">
        <v>287</v>
      </c>
      <c r="BL29" s="44" t="s">
        <v>286</v>
      </c>
      <c r="BM29" s="44" t="s">
        <v>287</v>
      </c>
      <c r="BN29" s="44" t="s">
        <v>286</v>
      </c>
      <c r="BO29" s="44" t="s">
        <v>287</v>
      </c>
      <c r="BP29" s="44" t="s">
        <v>286</v>
      </c>
      <c r="BQ29" s="44" t="s">
        <v>287</v>
      </c>
    </row>
    <row r="30" spans="1:69" x14ac:dyDescent="0.25">
      <c r="A30" s="21" t="s">
        <v>70</v>
      </c>
      <c r="B30" s="21"/>
      <c r="C30" s="21"/>
      <c r="D30" s="21"/>
      <c r="E30" s="21"/>
      <c r="F30" s="21"/>
      <c r="G30" s="21"/>
      <c r="H30" s="21"/>
      <c r="I30" s="21"/>
      <c r="J30" s="21">
        <v>26338</v>
      </c>
      <c r="K30" s="21">
        <v>76993</v>
      </c>
      <c r="L30" s="21">
        <v>2649</v>
      </c>
      <c r="M30" s="21">
        <v>14269</v>
      </c>
      <c r="N30" s="21">
        <v>5951</v>
      </c>
      <c r="O30" s="21">
        <v>16926</v>
      </c>
      <c r="P30" s="21"/>
      <c r="Q30" s="21"/>
      <c r="R30" s="21"/>
      <c r="S30" s="21"/>
      <c r="T30" s="21"/>
      <c r="U30" s="21"/>
      <c r="V30" s="21"/>
      <c r="W30" s="21"/>
      <c r="X30" s="21">
        <v>10959</v>
      </c>
      <c r="Y30" s="21">
        <v>31442</v>
      </c>
      <c r="Z30" s="21">
        <v>2315</v>
      </c>
      <c r="AA30" s="21">
        <v>2315</v>
      </c>
      <c r="AB30" s="21">
        <v>28523</v>
      </c>
      <c r="AC30" s="21">
        <v>77261</v>
      </c>
      <c r="AD30" s="21">
        <v>42578</v>
      </c>
      <c r="AE30" s="21">
        <v>153223</v>
      </c>
      <c r="AF30" s="21">
        <v>21802</v>
      </c>
      <c r="AG30" s="21">
        <v>72619</v>
      </c>
      <c r="AH30" s="21">
        <v>220</v>
      </c>
      <c r="AI30" s="21">
        <v>269</v>
      </c>
      <c r="AJ30" s="21">
        <v>7058</v>
      </c>
      <c r="AK30" s="21">
        <v>12189</v>
      </c>
      <c r="AL30" s="21">
        <v>1499</v>
      </c>
      <c r="AM30" s="21">
        <v>6512</v>
      </c>
      <c r="AN30" s="21"/>
      <c r="AO30" s="21"/>
      <c r="AP30" s="21">
        <v>44669.622000000003</v>
      </c>
      <c r="AQ30" s="21">
        <v>134663.617</v>
      </c>
      <c r="AR30" s="21">
        <v>123036</v>
      </c>
      <c r="AS30" s="21">
        <v>417884</v>
      </c>
      <c r="AT30" s="21">
        <v>40270</v>
      </c>
      <c r="AU30" s="21">
        <v>123133</v>
      </c>
      <c r="AV30" s="21">
        <v>172</v>
      </c>
      <c r="AW30" s="21">
        <v>686</v>
      </c>
      <c r="AX30" s="21">
        <v>20425</v>
      </c>
      <c r="AY30" s="21">
        <v>39105</v>
      </c>
      <c r="AZ30" s="21"/>
      <c r="BA30" s="21"/>
      <c r="BB30" s="21">
        <v>16585</v>
      </c>
      <c r="BC30" s="21">
        <v>41063</v>
      </c>
      <c r="BD30" s="21">
        <v>7276</v>
      </c>
      <c r="BE30" s="21">
        <v>17660</v>
      </c>
      <c r="BF30" s="21">
        <v>3309</v>
      </c>
      <c r="BG30" s="21">
        <v>8870</v>
      </c>
      <c r="BH30" s="21"/>
      <c r="BI30" s="21"/>
      <c r="BJ30" s="21">
        <v>14771</v>
      </c>
      <c r="BK30" s="21">
        <v>67209</v>
      </c>
      <c r="BL30" s="21">
        <v>72937</v>
      </c>
      <c r="BM30" s="21">
        <v>208574</v>
      </c>
      <c r="BN30" s="21">
        <v>2314</v>
      </c>
      <c r="BO30" s="21">
        <v>4695</v>
      </c>
      <c r="BP30" s="21">
        <f>B30+D30+F30+H30+J30+L30+N30+P30+R30+T30+V30+X30+Z30+AB30+AD30+AF30+AH30+AJ30+AL30+AN30+AP30+AR30+AT30+AV30+AX30+AZ30+BB30+BD30+BF30+BH30+BJ30+BL30+BN30</f>
        <v>495656.62199999997</v>
      </c>
      <c r="BQ30" s="21">
        <f>C30+E30+G30+I30+K30+M30+O30+Q30+S30+U30+W30+Y30+AA30+AC30+AE30+AG30+AI30+AK30+AM30+AO30+AQ30+AS30+AU30+AW30+AY30+BA30+BC30+BE30+BG30+BI30+BK30+BM30+BO30</f>
        <v>1527560.6170000001</v>
      </c>
    </row>
    <row r="31" spans="1:69" x14ac:dyDescent="0.25">
      <c r="A31" s="21" t="s">
        <v>71</v>
      </c>
      <c r="B31" s="21"/>
      <c r="C31" s="21"/>
      <c r="D31" s="21"/>
      <c r="E31" s="21"/>
      <c r="F31" s="21"/>
      <c r="G31" s="21"/>
      <c r="H31" s="21"/>
      <c r="I31" s="21"/>
      <c r="J31" s="21">
        <v>2735</v>
      </c>
      <c r="K31" s="21">
        <v>6855</v>
      </c>
      <c r="L31" s="21">
        <v>20</v>
      </c>
      <c r="M31" s="21">
        <v>309</v>
      </c>
      <c r="N31" s="21">
        <v>77</v>
      </c>
      <c r="O31" s="21">
        <v>213</v>
      </c>
      <c r="P31" s="21"/>
      <c r="Q31" s="21"/>
      <c r="R31" s="21">
        <v>33</v>
      </c>
      <c r="S31" s="21">
        <v>61</v>
      </c>
      <c r="T31" s="21">
        <v>179</v>
      </c>
      <c r="U31" s="21">
        <v>333</v>
      </c>
      <c r="V31" s="21"/>
      <c r="W31" s="21"/>
      <c r="X31" s="21">
        <v>185</v>
      </c>
      <c r="Y31" s="21">
        <v>-5217</v>
      </c>
      <c r="Z31" s="21">
        <v>1332</v>
      </c>
      <c r="AA31" s="21">
        <v>1660</v>
      </c>
      <c r="AB31" s="21">
        <v>1083</v>
      </c>
      <c r="AC31" s="21">
        <v>3333</v>
      </c>
      <c r="AD31" s="21">
        <v>17554</v>
      </c>
      <c r="AE31" s="21">
        <v>69163</v>
      </c>
      <c r="AF31" s="21">
        <v>48</v>
      </c>
      <c r="AG31" s="21">
        <v>185</v>
      </c>
      <c r="AH31" s="21">
        <v>20</v>
      </c>
      <c r="AI31" s="21">
        <v>43</v>
      </c>
      <c r="AJ31" s="21">
        <v>41</v>
      </c>
      <c r="AK31" s="21">
        <v>90</v>
      </c>
      <c r="AL31" s="21">
        <v>743</v>
      </c>
      <c r="AM31" s="21">
        <v>794</v>
      </c>
      <c r="AN31" s="21"/>
      <c r="AO31" s="21"/>
      <c r="AP31" s="21">
        <v>21116.199000000001</v>
      </c>
      <c r="AQ31" s="21">
        <v>31376.411</v>
      </c>
      <c r="AR31" s="21">
        <v>17763</v>
      </c>
      <c r="AS31" s="21">
        <v>64057</v>
      </c>
      <c r="AT31" s="21">
        <v>27858</v>
      </c>
      <c r="AU31" s="21">
        <v>96171</v>
      </c>
      <c r="AV31" s="21">
        <v>2</v>
      </c>
      <c r="AW31" s="21">
        <v>31</v>
      </c>
      <c r="AX31" s="21">
        <v>1100</v>
      </c>
      <c r="AY31" s="21">
        <v>2567</v>
      </c>
      <c r="AZ31" s="21"/>
      <c r="BA31" s="21"/>
      <c r="BB31" s="21">
        <v>661</v>
      </c>
      <c r="BC31" s="21">
        <v>1746</v>
      </c>
      <c r="BD31" s="21">
        <v>280</v>
      </c>
      <c r="BE31" s="21">
        <v>768</v>
      </c>
      <c r="BF31" s="21">
        <v>329</v>
      </c>
      <c r="BG31" s="21">
        <v>902</v>
      </c>
      <c r="BH31" s="21"/>
      <c r="BI31" s="21"/>
      <c r="BJ31" s="21">
        <v>1006</v>
      </c>
      <c r="BK31" s="21">
        <v>2435</v>
      </c>
      <c r="BL31" s="21">
        <v>24399</v>
      </c>
      <c r="BM31" s="21">
        <v>65946</v>
      </c>
      <c r="BN31" s="21">
        <v>165</v>
      </c>
      <c r="BO31" s="21">
        <v>451</v>
      </c>
      <c r="BP31" s="21">
        <f t="shared" ref="BP31:BP33" si="6">B31+D31+F31+H31+J31+L31+N31+P31+R31+T31+V31+X31+Z31+AB31+AD31+AF31+AH31+AJ31+AL31+AN31+AP31+AR31+AT31+AV31+AX31+AZ31+BB31+BD31+BF31+BH31+BJ31+BL31+BN31</f>
        <v>118729.19899999999</v>
      </c>
      <c r="BQ31" s="21">
        <f t="shared" ref="BQ31:BQ33" si="7">C31+E31+G31+I31+K31+M31+O31+Q31+S31+U31+W31+Y31+AA31+AC31+AE31+AG31+AI31+AK31+AM31+AO31+AQ31+AS31+AU31+AW31+AY31+BA31+BC31+BE31+BG31+BI31+BK31+BM31+BO31</f>
        <v>344272.41099999996</v>
      </c>
    </row>
    <row r="32" spans="1:69" x14ac:dyDescent="0.25">
      <c r="A32" s="21" t="s">
        <v>72</v>
      </c>
      <c r="B32" s="21"/>
      <c r="C32" s="21"/>
      <c r="D32" s="21"/>
      <c r="E32" s="21"/>
      <c r="F32" s="21"/>
      <c r="G32" s="21"/>
      <c r="H32" s="21"/>
      <c r="I32" s="21"/>
      <c r="J32" s="21">
        <v>53036</v>
      </c>
      <c r="K32" s="21">
        <v>160765</v>
      </c>
      <c r="L32" s="21">
        <v>9952</v>
      </c>
      <c r="M32" s="21">
        <v>29732</v>
      </c>
      <c r="N32" s="21">
        <v>9914</v>
      </c>
      <c r="O32" s="21">
        <v>23132</v>
      </c>
      <c r="P32" s="21"/>
      <c r="Q32" s="21"/>
      <c r="R32" s="21"/>
      <c r="S32" s="21">
        <v>-1529</v>
      </c>
      <c r="T32" s="21"/>
      <c r="U32" s="21"/>
      <c r="V32" s="21"/>
      <c r="W32" s="21"/>
      <c r="X32" s="21">
        <v>12411</v>
      </c>
      <c r="Y32" s="21">
        <v>36476</v>
      </c>
      <c r="Z32" s="21">
        <v>4396</v>
      </c>
      <c r="AA32" s="21">
        <v>4663</v>
      </c>
      <c r="AB32" s="21">
        <v>-57889</v>
      </c>
      <c r="AC32" s="21">
        <v>-163778</v>
      </c>
      <c r="AD32" s="21">
        <v>82507</v>
      </c>
      <c r="AE32" s="21">
        <v>261011</v>
      </c>
      <c r="AF32" s="21">
        <v>11591</v>
      </c>
      <c r="AG32" s="21">
        <v>39516</v>
      </c>
      <c r="AH32" s="21">
        <v>216</v>
      </c>
      <c r="AI32" s="21">
        <v>266</v>
      </c>
      <c r="AJ32" s="21">
        <v>6052</v>
      </c>
      <c r="AK32" s="21">
        <v>24625</v>
      </c>
      <c r="AL32" s="21">
        <v>-3040</v>
      </c>
      <c r="AM32" s="21">
        <v>-6223</v>
      </c>
      <c r="AN32" s="21"/>
      <c r="AO32" s="21"/>
      <c r="AP32" s="21">
        <v>13545.888000000003</v>
      </c>
      <c r="AQ32" s="21">
        <v>37379.463000000003</v>
      </c>
      <c r="AR32" s="21">
        <v>75230</v>
      </c>
      <c r="AS32" s="21">
        <v>213600</v>
      </c>
      <c r="AT32" s="21">
        <v>26376</v>
      </c>
      <c r="AU32" s="21">
        <v>79044</v>
      </c>
      <c r="AV32" s="21">
        <v>165</v>
      </c>
      <c r="AW32" s="21">
        <v>454</v>
      </c>
      <c r="AX32" s="21">
        <v>22778</v>
      </c>
      <c r="AY32" s="21">
        <v>67165</v>
      </c>
      <c r="AZ32" s="21"/>
      <c r="BA32" s="21"/>
      <c r="BB32" s="21">
        <v>-32686</v>
      </c>
      <c r="BC32" s="21">
        <v>-124547</v>
      </c>
      <c r="BD32" s="21">
        <v>15990</v>
      </c>
      <c r="BE32" s="21">
        <v>34769</v>
      </c>
      <c r="BF32" s="21">
        <v>4314</v>
      </c>
      <c r="BG32" s="21">
        <v>11505</v>
      </c>
      <c r="BH32" s="21"/>
      <c r="BI32" s="21"/>
      <c r="BJ32" s="21">
        <v>44673</v>
      </c>
      <c r="BK32" s="21">
        <v>143011</v>
      </c>
      <c r="BL32" s="21">
        <v>46707</v>
      </c>
      <c r="BM32" s="21">
        <v>122489</v>
      </c>
      <c r="BN32" s="21">
        <v>3647</v>
      </c>
      <c r="BO32" s="21">
        <v>8159</v>
      </c>
      <c r="BP32" s="21">
        <f t="shared" si="6"/>
        <v>349885.88800000004</v>
      </c>
      <c r="BQ32" s="21">
        <f t="shared" si="7"/>
        <v>1001684.463</v>
      </c>
    </row>
    <row r="33" spans="1:69" x14ac:dyDescent="0.25">
      <c r="A33" s="21" t="s">
        <v>73</v>
      </c>
      <c r="B33" s="21"/>
      <c r="C33" s="21"/>
      <c r="D33" s="21"/>
      <c r="E33" s="21"/>
      <c r="F33" s="21"/>
      <c r="G33" s="21"/>
      <c r="H33" s="21"/>
      <c r="I33" s="21"/>
      <c r="J33" s="21">
        <v>-23963</v>
      </c>
      <c r="K33" s="21">
        <v>-76917</v>
      </c>
      <c r="L33" s="21">
        <v>-7283</v>
      </c>
      <c r="M33" s="21">
        <v>-15154</v>
      </c>
      <c r="N33" s="21">
        <v>-3886</v>
      </c>
      <c r="O33" s="21">
        <v>-5993</v>
      </c>
      <c r="P33" s="21"/>
      <c r="Q33" s="21"/>
      <c r="R33" s="21">
        <v>33</v>
      </c>
      <c r="S33" s="21">
        <v>-1468</v>
      </c>
      <c r="T33" s="21">
        <v>179</v>
      </c>
      <c r="U33" s="21">
        <v>333</v>
      </c>
      <c r="V33" s="21"/>
      <c r="W33" s="21"/>
      <c r="X33" s="21">
        <v>-1267</v>
      </c>
      <c r="Y33" s="21">
        <v>-10251</v>
      </c>
      <c r="Z33" s="21">
        <v>-750</v>
      </c>
      <c r="AA33" s="21">
        <v>-688</v>
      </c>
      <c r="AB33" s="21">
        <v>-28282</v>
      </c>
      <c r="AC33" s="21">
        <v>-83184</v>
      </c>
      <c r="AD33" s="21">
        <v>-22375</v>
      </c>
      <c r="AE33" s="21">
        <v>-38625</v>
      </c>
      <c r="AF33" s="21">
        <v>10259</v>
      </c>
      <c r="AG33" s="21">
        <v>33288</v>
      </c>
      <c r="AH33" s="21">
        <v>24</v>
      </c>
      <c r="AI33" s="21">
        <v>46</v>
      </c>
      <c r="AJ33" s="21">
        <v>1048</v>
      </c>
      <c r="AK33" s="21">
        <v>-12346</v>
      </c>
      <c r="AL33" s="21">
        <v>-798</v>
      </c>
      <c r="AM33" s="21">
        <v>1083</v>
      </c>
      <c r="AN33" s="21"/>
      <c r="AO33" s="21"/>
      <c r="AP33" s="21">
        <v>52239.93299999999</v>
      </c>
      <c r="AQ33" s="21">
        <v>128660.56499999999</v>
      </c>
      <c r="AR33" s="21">
        <v>65569</v>
      </c>
      <c r="AS33" s="21">
        <v>268341</v>
      </c>
      <c r="AT33" s="21">
        <v>41752</v>
      </c>
      <c r="AU33" s="21">
        <v>140260</v>
      </c>
      <c r="AV33" s="21">
        <v>9</v>
      </c>
      <c r="AW33" s="21">
        <v>262</v>
      </c>
      <c r="AX33" s="21">
        <v>-1253</v>
      </c>
      <c r="AY33" s="21">
        <v>-25493</v>
      </c>
      <c r="AZ33" s="21"/>
      <c r="BA33" s="21"/>
      <c r="BB33" s="21">
        <v>-15440</v>
      </c>
      <c r="BC33" s="21">
        <v>-81738</v>
      </c>
      <c r="BD33" s="21">
        <v>-8434</v>
      </c>
      <c r="BE33" s="21">
        <v>-16341</v>
      </c>
      <c r="BF33" s="21">
        <v>-675</v>
      </c>
      <c r="BG33" s="21">
        <v>-1733</v>
      </c>
      <c r="BH33" s="21"/>
      <c r="BI33" s="21"/>
      <c r="BJ33" s="21">
        <v>-28896</v>
      </c>
      <c r="BK33" s="21">
        <v>-73367</v>
      </c>
      <c r="BL33" s="21">
        <v>50629</v>
      </c>
      <c r="BM33" s="21">
        <v>152031</v>
      </c>
      <c r="BN33" s="21">
        <f>BN30+BN31-BN32</f>
        <v>-1168</v>
      </c>
      <c r="BO33" s="21">
        <f>BO30+BO31-BO32</f>
        <v>-3013</v>
      </c>
      <c r="BP33" s="21">
        <f t="shared" si="6"/>
        <v>77271.93299999999</v>
      </c>
      <c r="BQ33" s="21">
        <f t="shared" si="7"/>
        <v>277993.565</v>
      </c>
    </row>
    <row r="35" spans="1:69" x14ac:dyDescent="0.25">
      <c r="A35" s="13" t="s">
        <v>185</v>
      </c>
    </row>
    <row r="36" spans="1:69" s="15" customFormat="1" x14ac:dyDescent="0.25">
      <c r="A36" s="23" t="s">
        <v>0</v>
      </c>
      <c r="B36" s="111" t="s">
        <v>1</v>
      </c>
      <c r="C36" s="112"/>
      <c r="D36" s="111" t="s">
        <v>2</v>
      </c>
      <c r="E36" s="112"/>
      <c r="F36" s="111" t="s">
        <v>3</v>
      </c>
      <c r="G36" s="112"/>
      <c r="H36" s="111" t="s">
        <v>4</v>
      </c>
      <c r="I36" s="112"/>
      <c r="J36" s="111" t="s">
        <v>5</v>
      </c>
      <c r="K36" s="112"/>
      <c r="L36" s="111" t="s">
        <v>6</v>
      </c>
      <c r="M36" s="112"/>
      <c r="N36" s="111" t="s">
        <v>7</v>
      </c>
      <c r="O36" s="112"/>
      <c r="P36" s="111" t="s">
        <v>8</v>
      </c>
      <c r="Q36" s="112"/>
      <c r="R36" s="111" t="s">
        <v>9</v>
      </c>
      <c r="S36" s="112"/>
      <c r="T36" s="111" t="s">
        <v>10</v>
      </c>
      <c r="U36" s="112"/>
      <c r="V36" s="111" t="s">
        <v>11</v>
      </c>
      <c r="W36" s="112"/>
      <c r="X36" s="111" t="s">
        <v>12</v>
      </c>
      <c r="Y36" s="112"/>
      <c r="Z36" s="111" t="s">
        <v>13</v>
      </c>
      <c r="AA36" s="112"/>
      <c r="AB36" s="111" t="s">
        <v>14</v>
      </c>
      <c r="AC36" s="112"/>
      <c r="AD36" s="111" t="s">
        <v>15</v>
      </c>
      <c r="AE36" s="112"/>
      <c r="AF36" s="111" t="s">
        <v>16</v>
      </c>
      <c r="AG36" s="112"/>
      <c r="AH36" s="111" t="s">
        <v>17</v>
      </c>
      <c r="AI36" s="112"/>
      <c r="AJ36" s="111" t="s">
        <v>18</v>
      </c>
      <c r="AK36" s="112"/>
      <c r="AL36" s="111" t="s">
        <v>19</v>
      </c>
      <c r="AM36" s="112"/>
      <c r="AN36" s="111" t="s">
        <v>20</v>
      </c>
      <c r="AO36" s="112"/>
      <c r="AP36" s="111" t="s">
        <v>21</v>
      </c>
      <c r="AQ36" s="112"/>
      <c r="AR36" s="111" t="s">
        <v>161</v>
      </c>
      <c r="AS36" s="112"/>
      <c r="AT36" s="111" t="s">
        <v>162</v>
      </c>
      <c r="AU36" s="112"/>
      <c r="AV36" s="111" t="s">
        <v>22</v>
      </c>
      <c r="AW36" s="112"/>
      <c r="AX36" s="111" t="s">
        <v>23</v>
      </c>
      <c r="AY36" s="112"/>
      <c r="AZ36" s="111" t="s">
        <v>24</v>
      </c>
      <c r="BA36" s="112"/>
      <c r="BB36" s="111" t="s">
        <v>25</v>
      </c>
      <c r="BC36" s="112"/>
      <c r="BD36" s="111" t="s">
        <v>26</v>
      </c>
      <c r="BE36" s="112"/>
      <c r="BF36" s="111" t="s">
        <v>27</v>
      </c>
      <c r="BG36" s="112"/>
      <c r="BH36" s="111" t="s">
        <v>28</v>
      </c>
      <c r="BI36" s="112"/>
      <c r="BJ36" s="111" t="s">
        <v>29</v>
      </c>
      <c r="BK36" s="112"/>
      <c r="BL36" s="111" t="s">
        <v>30</v>
      </c>
      <c r="BM36" s="112"/>
      <c r="BN36" s="111" t="s">
        <v>31</v>
      </c>
      <c r="BO36" s="112"/>
      <c r="BP36" s="110" t="s">
        <v>304</v>
      </c>
      <c r="BQ36" s="110"/>
    </row>
    <row r="37" spans="1:69" s="43" customFormat="1" ht="44.25" customHeight="1" x14ac:dyDescent="0.25">
      <c r="A37" s="44"/>
      <c r="B37" s="44" t="s">
        <v>286</v>
      </c>
      <c r="C37" s="44" t="s">
        <v>287</v>
      </c>
      <c r="D37" s="44" t="s">
        <v>286</v>
      </c>
      <c r="E37" s="44" t="s">
        <v>287</v>
      </c>
      <c r="F37" s="44" t="s">
        <v>286</v>
      </c>
      <c r="G37" s="44" t="s">
        <v>287</v>
      </c>
      <c r="H37" s="44" t="s">
        <v>286</v>
      </c>
      <c r="I37" s="44" t="s">
        <v>287</v>
      </c>
      <c r="J37" s="44" t="s">
        <v>286</v>
      </c>
      <c r="K37" s="44" t="s">
        <v>287</v>
      </c>
      <c r="L37" s="44" t="s">
        <v>286</v>
      </c>
      <c r="M37" s="44" t="s">
        <v>287</v>
      </c>
      <c r="N37" s="44" t="s">
        <v>286</v>
      </c>
      <c r="O37" s="44" t="s">
        <v>287</v>
      </c>
      <c r="P37" s="44" t="s">
        <v>286</v>
      </c>
      <c r="Q37" s="44" t="s">
        <v>287</v>
      </c>
      <c r="R37" s="44" t="s">
        <v>286</v>
      </c>
      <c r="S37" s="44" t="s">
        <v>287</v>
      </c>
      <c r="T37" s="44" t="s">
        <v>286</v>
      </c>
      <c r="U37" s="44" t="s">
        <v>287</v>
      </c>
      <c r="V37" s="44" t="s">
        <v>286</v>
      </c>
      <c r="W37" s="44" t="s">
        <v>287</v>
      </c>
      <c r="X37" s="44" t="s">
        <v>286</v>
      </c>
      <c r="Y37" s="44" t="s">
        <v>287</v>
      </c>
      <c r="Z37" s="44" t="s">
        <v>286</v>
      </c>
      <c r="AA37" s="44" t="s">
        <v>287</v>
      </c>
      <c r="AB37" s="44" t="s">
        <v>286</v>
      </c>
      <c r="AC37" s="44" t="s">
        <v>287</v>
      </c>
      <c r="AD37" s="44" t="s">
        <v>286</v>
      </c>
      <c r="AE37" s="44" t="s">
        <v>287</v>
      </c>
      <c r="AF37" s="44" t="s">
        <v>286</v>
      </c>
      <c r="AG37" s="44" t="s">
        <v>287</v>
      </c>
      <c r="AH37" s="44" t="s">
        <v>286</v>
      </c>
      <c r="AI37" s="44" t="s">
        <v>287</v>
      </c>
      <c r="AJ37" s="44" t="s">
        <v>286</v>
      </c>
      <c r="AK37" s="44" t="s">
        <v>287</v>
      </c>
      <c r="AL37" s="44" t="s">
        <v>286</v>
      </c>
      <c r="AM37" s="44" t="s">
        <v>287</v>
      </c>
      <c r="AN37" s="44" t="s">
        <v>286</v>
      </c>
      <c r="AO37" s="44" t="s">
        <v>287</v>
      </c>
      <c r="AP37" s="44" t="s">
        <v>286</v>
      </c>
      <c r="AQ37" s="44" t="s">
        <v>287</v>
      </c>
      <c r="AR37" s="44" t="s">
        <v>286</v>
      </c>
      <c r="AS37" s="44" t="s">
        <v>287</v>
      </c>
      <c r="AT37" s="44" t="s">
        <v>286</v>
      </c>
      <c r="AU37" s="44" t="s">
        <v>287</v>
      </c>
      <c r="AV37" s="44" t="s">
        <v>286</v>
      </c>
      <c r="AW37" s="44" t="s">
        <v>287</v>
      </c>
      <c r="AX37" s="44" t="s">
        <v>286</v>
      </c>
      <c r="AY37" s="44" t="s">
        <v>287</v>
      </c>
      <c r="AZ37" s="44" t="s">
        <v>286</v>
      </c>
      <c r="BA37" s="44" t="s">
        <v>287</v>
      </c>
      <c r="BB37" s="44" t="s">
        <v>286</v>
      </c>
      <c r="BC37" s="44" t="s">
        <v>287</v>
      </c>
      <c r="BD37" s="44" t="s">
        <v>286</v>
      </c>
      <c r="BE37" s="44" t="s">
        <v>287</v>
      </c>
      <c r="BF37" s="44" t="s">
        <v>286</v>
      </c>
      <c r="BG37" s="44" t="s">
        <v>287</v>
      </c>
      <c r="BH37" s="44" t="s">
        <v>286</v>
      </c>
      <c r="BI37" s="44" t="s">
        <v>287</v>
      </c>
      <c r="BJ37" s="44" t="s">
        <v>286</v>
      </c>
      <c r="BK37" s="44" t="s">
        <v>287</v>
      </c>
      <c r="BL37" s="44" t="s">
        <v>286</v>
      </c>
      <c r="BM37" s="44" t="s">
        <v>287</v>
      </c>
      <c r="BN37" s="44" t="s">
        <v>286</v>
      </c>
      <c r="BO37" s="44" t="s">
        <v>287</v>
      </c>
      <c r="BP37" s="44" t="s">
        <v>286</v>
      </c>
      <c r="BQ37" s="44" t="s">
        <v>287</v>
      </c>
    </row>
    <row r="38" spans="1:69" x14ac:dyDescent="0.25">
      <c r="A38" s="21" t="s">
        <v>70</v>
      </c>
      <c r="B38" s="21"/>
      <c r="C38" s="21"/>
      <c r="D38" s="21">
        <v>141814</v>
      </c>
      <c r="E38" s="21">
        <v>313951</v>
      </c>
      <c r="F38" s="21"/>
      <c r="G38" s="21"/>
      <c r="H38" s="21">
        <v>574335</v>
      </c>
      <c r="I38" s="21">
        <v>1431850</v>
      </c>
      <c r="J38" s="21">
        <v>363711</v>
      </c>
      <c r="K38" s="21">
        <v>1179131</v>
      </c>
      <c r="L38" s="21">
        <v>57263</v>
      </c>
      <c r="M38" s="21">
        <v>218363</v>
      </c>
      <c r="N38" s="21">
        <v>62791</v>
      </c>
      <c r="O38" s="21">
        <v>187567</v>
      </c>
      <c r="P38" s="21">
        <v>120642</v>
      </c>
      <c r="Q38" s="21">
        <v>383924</v>
      </c>
      <c r="R38" s="21">
        <v>1816</v>
      </c>
      <c r="S38" s="21">
        <v>119825</v>
      </c>
      <c r="T38" s="21">
        <v>6191</v>
      </c>
      <c r="U38" s="21">
        <v>6705</v>
      </c>
      <c r="V38" s="21"/>
      <c r="W38" s="21"/>
      <c r="X38" s="21">
        <v>43389</v>
      </c>
      <c r="Y38" s="21">
        <v>107128</v>
      </c>
      <c r="Z38" s="21">
        <v>252</v>
      </c>
      <c r="AA38" s="21">
        <v>346</v>
      </c>
      <c r="AB38" s="21">
        <v>344060</v>
      </c>
      <c r="AC38" s="21">
        <v>1017475</v>
      </c>
      <c r="AD38" s="21">
        <v>466529</v>
      </c>
      <c r="AE38" s="21">
        <v>1327158</v>
      </c>
      <c r="AF38" s="21">
        <v>123055</v>
      </c>
      <c r="AG38" s="21">
        <v>375362</v>
      </c>
      <c r="AH38" s="21">
        <v>13161</v>
      </c>
      <c r="AI38" s="21">
        <v>40266</v>
      </c>
      <c r="AJ38" s="21">
        <v>21679</v>
      </c>
      <c r="AK38" s="21">
        <v>96569</v>
      </c>
      <c r="AL38" s="21">
        <v>11112</v>
      </c>
      <c r="AM38" s="21">
        <v>26317</v>
      </c>
      <c r="AN38" s="45">
        <v>243620</v>
      </c>
      <c r="AO38" s="45">
        <v>662284</v>
      </c>
      <c r="AP38" s="21">
        <v>742405.60400000028</v>
      </c>
      <c r="AQ38" s="21">
        <v>2113778.5380000002</v>
      </c>
      <c r="AR38" s="21">
        <v>1149716</v>
      </c>
      <c r="AS38" s="21">
        <v>3899371</v>
      </c>
      <c r="AT38" s="21">
        <v>575576</v>
      </c>
      <c r="AU38" s="21">
        <v>1761714</v>
      </c>
      <c r="AV38" s="21">
        <v>16</v>
      </c>
      <c r="AW38" s="21">
        <v>43</v>
      </c>
      <c r="AX38" s="21">
        <v>100764</v>
      </c>
      <c r="AY38" s="21">
        <v>379105</v>
      </c>
      <c r="AZ38" s="21">
        <v>414253</v>
      </c>
      <c r="BA38" s="21">
        <v>1193755</v>
      </c>
      <c r="BB38" s="21">
        <v>76496</v>
      </c>
      <c r="BC38" s="21">
        <v>266903</v>
      </c>
      <c r="BD38" s="21">
        <v>124733</v>
      </c>
      <c r="BE38" s="21">
        <v>366503</v>
      </c>
      <c r="BF38" s="21">
        <v>414</v>
      </c>
      <c r="BG38" s="21">
        <v>923</v>
      </c>
      <c r="BH38" s="21">
        <v>1680059</v>
      </c>
      <c r="BI38" s="21">
        <v>4494550</v>
      </c>
      <c r="BJ38" s="21">
        <v>155983</v>
      </c>
      <c r="BK38" s="21">
        <v>503554</v>
      </c>
      <c r="BL38" s="21">
        <v>533280</v>
      </c>
      <c r="BM38" s="21">
        <v>1771703</v>
      </c>
      <c r="BN38" s="21">
        <v>47788</v>
      </c>
      <c r="BO38" s="21">
        <v>120680</v>
      </c>
      <c r="BP38" s="21">
        <f t="shared" ref="BP38:BP41" si="8">B38+D38+F38+H38+J38+L38+N38+P38+R38+T38+V38+X38+Z38+AB38+AD38+AF38+AH38+AJ38+AL38+AN38+AP38+AR38+AT38+AV38+AX38+AZ38+BB38+BD38+BF38+BH38+BJ38+BL38+BN38</f>
        <v>8196903.6040000003</v>
      </c>
      <c r="BQ38" s="21">
        <f t="shared" ref="BQ38:BQ41" si="9">C38+E38+G38+I38+K38+M38+O38+Q38+S38+U38+W38+Y38+AA38+AC38+AE38+AG38+AI38+AK38+AM38+AO38+AQ38+AS38+AU38+AW38+AY38+BA38+BC38+BE38+BG38+BI38+BK38+BM38+BO38</f>
        <v>24366803.538000003</v>
      </c>
    </row>
    <row r="39" spans="1:69" x14ac:dyDescent="0.25">
      <c r="A39" s="21" t="s">
        <v>71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826</v>
      </c>
      <c r="U39" s="21">
        <v>5376</v>
      </c>
      <c r="V39" s="21"/>
      <c r="W39" s="21"/>
      <c r="X39" s="21"/>
      <c r="Y39" s="21"/>
      <c r="Z39" s="21"/>
      <c r="AA39" s="21"/>
      <c r="AB39" s="21">
        <v>9</v>
      </c>
      <c r="AC39" s="21">
        <v>-167</v>
      </c>
      <c r="AD39" s="21">
        <v>5411</v>
      </c>
      <c r="AE39" s="21">
        <v>29561</v>
      </c>
      <c r="AF39" s="21"/>
      <c r="AG39" s="21"/>
      <c r="AH39" s="21"/>
      <c r="AI39" s="21"/>
      <c r="AJ39" s="21"/>
      <c r="AK39" s="21"/>
      <c r="AL39" s="21"/>
      <c r="AM39" s="21"/>
      <c r="AN39" s="45"/>
      <c r="AO39" s="45"/>
      <c r="AP39" s="21">
        <v>0</v>
      </c>
      <c r="AQ39" s="21">
        <v>0</v>
      </c>
      <c r="AR39" s="21">
        <v>0</v>
      </c>
      <c r="AS39" s="21">
        <v>0</v>
      </c>
      <c r="AT39" s="21">
        <v>5476</v>
      </c>
      <c r="AU39" s="21">
        <v>5476</v>
      </c>
      <c r="AV39" s="21"/>
      <c r="AW39" s="21"/>
      <c r="AX39" s="21"/>
      <c r="AY39" s="21"/>
      <c r="AZ39" s="21">
        <v>753</v>
      </c>
      <c r="BA39" s="21">
        <v>20430</v>
      </c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>
        <f t="shared" si="8"/>
        <v>12475</v>
      </c>
      <c r="BQ39" s="21">
        <f t="shared" si="9"/>
        <v>60676</v>
      </c>
    </row>
    <row r="40" spans="1:69" x14ac:dyDescent="0.25">
      <c r="A40" s="21" t="s">
        <v>72</v>
      </c>
      <c r="B40" s="21">
        <v>352</v>
      </c>
      <c r="C40" s="21">
        <v>946</v>
      </c>
      <c r="D40" s="21">
        <v>7095</v>
      </c>
      <c r="E40" s="21">
        <v>16296</v>
      </c>
      <c r="F40" s="21"/>
      <c r="G40" s="21"/>
      <c r="H40" s="21">
        <v>305046</v>
      </c>
      <c r="I40" s="21">
        <v>962900</v>
      </c>
      <c r="J40" s="21">
        <v>138189</v>
      </c>
      <c r="K40" s="21">
        <v>586448</v>
      </c>
      <c r="L40" s="21">
        <v>62666</v>
      </c>
      <c r="M40" s="21">
        <v>264194</v>
      </c>
      <c r="N40" s="21">
        <v>3983</v>
      </c>
      <c r="O40" s="21">
        <v>19349</v>
      </c>
      <c r="P40" s="21">
        <v>6877</v>
      </c>
      <c r="Q40" s="21">
        <v>27433</v>
      </c>
      <c r="R40" s="21">
        <v>-4231</v>
      </c>
      <c r="S40" s="21">
        <v>-347564</v>
      </c>
      <c r="T40" s="21">
        <v>21442</v>
      </c>
      <c r="U40" s="21">
        <v>98250</v>
      </c>
      <c r="V40" s="21"/>
      <c r="W40" s="21"/>
      <c r="X40" s="21">
        <v>33844</v>
      </c>
      <c r="Y40" s="21">
        <v>64961</v>
      </c>
      <c r="Z40" s="21">
        <v>242</v>
      </c>
      <c r="AA40" s="21">
        <v>898</v>
      </c>
      <c r="AB40" s="21">
        <v>-732894</v>
      </c>
      <c r="AC40" s="21">
        <v>-2108964</v>
      </c>
      <c r="AD40" s="21">
        <v>1203347</v>
      </c>
      <c r="AE40" s="21">
        <v>3354122</v>
      </c>
      <c r="AF40" s="21">
        <v>10408</v>
      </c>
      <c r="AG40" s="21">
        <v>40092</v>
      </c>
      <c r="AH40" s="21">
        <v>1207</v>
      </c>
      <c r="AI40" s="21">
        <v>4292</v>
      </c>
      <c r="AJ40" s="21">
        <v>2042</v>
      </c>
      <c r="AK40" s="21">
        <v>7191</v>
      </c>
      <c r="AL40" s="21">
        <v>-19264</v>
      </c>
      <c r="AM40" s="21">
        <v>-46043</v>
      </c>
      <c r="AN40" s="45">
        <v>204588</v>
      </c>
      <c r="AO40" s="45">
        <v>577546</v>
      </c>
      <c r="AP40" s="21">
        <v>274132.8339999998</v>
      </c>
      <c r="AQ40" s="21">
        <v>1932346.13</v>
      </c>
      <c r="AR40" s="21">
        <v>208514</v>
      </c>
      <c r="AS40" s="21">
        <v>618475</v>
      </c>
      <c r="AT40" s="21">
        <v>71244</v>
      </c>
      <c r="AU40" s="21">
        <v>184231</v>
      </c>
      <c r="AV40" s="21">
        <v>1</v>
      </c>
      <c r="AW40" s="21">
        <v>5</v>
      </c>
      <c r="AX40" s="21">
        <v>62454</v>
      </c>
      <c r="AY40" s="21">
        <v>323331</v>
      </c>
      <c r="AZ40" s="21">
        <v>601593</v>
      </c>
      <c r="BA40" s="21">
        <v>1430079</v>
      </c>
      <c r="BB40" s="21">
        <v>-52208</v>
      </c>
      <c r="BC40" s="21">
        <v>-187423</v>
      </c>
      <c r="BD40" s="21">
        <v>7331</v>
      </c>
      <c r="BE40" s="21">
        <v>20501</v>
      </c>
      <c r="BF40" s="21">
        <v>20</v>
      </c>
      <c r="BG40" s="21">
        <v>80</v>
      </c>
      <c r="BH40" s="21">
        <v>793152</v>
      </c>
      <c r="BI40" s="21">
        <v>2037204</v>
      </c>
      <c r="BJ40" s="21">
        <v>319016</v>
      </c>
      <c r="BK40" s="21">
        <v>1070743</v>
      </c>
      <c r="BL40" s="21">
        <v>77086</v>
      </c>
      <c r="BM40" s="21">
        <v>215196</v>
      </c>
      <c r="BN40" s="21">
        <v>4568</v>
      </c>
      <c r="BO40" s="21">
        <v>20835</v>
      </c>
      <c r="BP40" s="21">
        <f t="shared" si="8"/>
        <v>3611842.8339999998</v>
      </c>
      <c r="BQ40" s="21">
        <f t="shared" si="9"/>
        <v>11187950.129999999</v>
      </c>
    </row>
    <row r="41" spans="1:69" x14ac:dyDescent="0.25">
      <c r="A41" s="21" t="s">
        <v>73</v>
      </c>
      <c r="B41" s="21">
        <v>-352</v>
      </c>
      <c r="C41" s="21">
        <v>-946</v>
      </c>
      <c r="D41" s="21">
        <v>134719</v>
      </c>
      <c r="E41" s="21">
        <v>297656</v>
      </c>
      <c r="F41" s="21"/>
      <c r="G41" s="21"/>
      <c r="H41" s="21">
        <v>269289</v>
      </c>
      <c r="I41" s="21">
        <v>468950</v>
      </c>
      <c r="J41" s="21">
        <v>225522</v>
      </c>
      <c r="K41" s="21">
        <v>592683</v>
      </c>
      <c r="L41" s="21">
        <v>-5403</v>
      </c>
      <c r="M41" s="21">
        <v>-45831</v>
      </c>
      <c r="N41" s="21">
        <v>58808</v>
      </c>
      <c r="O41" s="21">
        <v>168218</v>
      </c>
      <c r="P41" s="21">
        <v>113765</v>
      </c>
      <c r="Q41" s="21">
        <v>356491</v>
      </c>
      <c r="R41" s="21">
        <v>-2415</v>
      </c>
      <c r="S41" s="21">
        <v>-227739</v>
      </c>
      <c r="T41" s="21">
        <v>-14425</v>
      </c>
      <c r="U41" s="21">
        <v>-86169</v>
      </c>
      <c r="V41" s="21"/>
      <c r="W41" s="21"/>
      <c r="X41" s="21">
        <v>9545</v>
      </c>
      <c r="Y41" s="21">
        <v>42167</v>
      </c>
      <c r="Z41" s="21">
        <v>10</v>
      </c>
      <c r="AA41" s="21">
        <v>-552</v>
      </c>
      <c r="AB41" s="21">
        <v>-388825</v>
      </c>
      <c r="AC41" s="21">
        <v>-1091656</v>
      </c>
      <c r="AD41" s="21">
        <v>-731407</v>
      </c>
      <c r="AE41" s="21">
        <v>-1997403</v>
      </c>
      <c r="AF41" s="21">
        <v>112647</v>
      </c>
      <c r="AG41" s="21">
        <v>335270</v>
      </c>
      <c r="AH41" s="21">
        <v>11954</v>
      </c>
      <c r="AI41" s="21">
        <v>35974</v>
      </c>
      <c r="AJ41" s="21">
        <v>19637</v>
      </c>
      <c r="AK41" s="21">
        <v>89378</v>
      </c>
      <c r="AL41" s="21">
        <v>-8152</v>
      </c>
      <c r="AM41" s="21">
        <v>-19726</v>
      </c>
      <c r="AN41" s="45">
        <v>39031</v>
      </c>
      <c r="AO41" s="45">
        <v>84738</v>
      </c>
      <c r="AP41" s="21">
        <v>468272.77000000048</v>
      </c>
      <c r="AQ41" s="21">
        <v>181432.40800000029</v>
      </c>
      <c r="AR41" s="21">
        <v>941202</v>
      </c>
      <c r="AS41" s="21">
        <v>3280895</v>
      </c>
      <c r="AT41" s="21">
        <v>509808</v>
      </c>
      <c r="AU41" s="21">
        <v>1582959</v>
      </c>
      <c r="AV41" s="21">
        <v>14</v>
      </c>
      <c r="AW41" s="21">
        <v>38</v>
      </c>
      <c r="AX41" s="21">
        <v>38310</v>
      </c>
      <c r="AY41" s="21">
        <v>55774</v>
      </c>
      <c r="AZ41" s="21">
        <v>-186587</v>
      </c>
      <c r="BA41" s="21">
        <v>-215893</v>
      </c>
      <c r="BB41" s="21">
        <v>24288</v>
      </c>
      <c r="BC41" s="21">
        <v>79480</v>
      </c>
      <c r="BD41" s="21">
        <v>117402</v>
      </c>
      <c r="BE41" s="21">
        <v>346002</v>
      </c>
      <c r="BF41" s="21">
        <v>394</v>
      </c>
      <c r="BG41" s="21">
        <v>843</v>
      </c>
      <c r="BH41" s="21">
        <v>886907</v>
      </c>
      <c r="BI41" s="21">
        <v>2457347</v>
      </c>
      <c r="BJ41" s="21">
        <v>-163033</v>
      </c>
      <c r="BK41" s="21">
        <v>-567189</v>
      </c>
      <c r="BL41" s="21">
        <v>456194</v>
      </c>
      <c r="BM41" s="21">
        <v>1556507</v>
      </c>
      <c r="BN41" s="21">
        <f>BN38+BN39-BN40</f>
        <v>43220</v>
      </c>
      <c r="BO41" s="21">
        <f>BO38+BO39-BO40</f>
        <v>99845</v>
      </c>
      <c r="BP41" s="21">
        <f t="shared" si="8"/>
        <v>2980339.7700000005</v>
      </c>
      <c r="BQ41" s="21">
        <f t="shared" si="9"/>
        <v>7859543.4079999998</v>
      </c>
    </row>
    <row r="43" spans="1:69" x14ac:dyDescent="0.25">
      <c r="A43" s="13" t="s">
        <v>158</v>
      </c>
    </row>
    <row r="44" spans="1:69" s="15" customFormat="1" x14ac:dyDescent="0.25">
      <c r="A44" s="23" t="s">
        <v>0</v>
      </c>
      <c r="B44" s="111" t="s">
        <v>1</v>
      </c>
      <c r="C44" s="112"/>
      <c r="D44" s="111" t="s">
        <v>2</v>
      </c>
      <c r="E44" s="112"/>
      <c r="F44" s="111" t="s">
        <v>3</v>
      </c>
      <c r="G44" s="112"/>
      <c r="H44" s="111" t="s">
        <v>4</v>
      </c>
      <c r="I44" s="112"/>
      <c r="J44" s="111" t="s">
        <v>5</v>
      </c>
      <c r="K44" s="112"/>
      <c r="L44" s="111" t="s">
        <v>6</v>
      </c>
      <c r="M44" s="112"/>
      <c r="N44" s="111" t="s">
        <v>7</v>
      </c>
      <c r="O44" s="112"/>
      <c r="P44" s="111" t="s">
        <v>8</v>
      </c>
      <c r="Q44" s="112"/>
      <c r="R44" s="111" t="s">
        <v>9</v>
      </c>
      <c r="S44" s="112"/>
      <c r="T44" s="111" t="s">
        <v>10</v>
      </c>
      <c r="U44" s="112"/>
      <c r="V44" s="111" t="s">
        <v>11</v>
      </c>
      <c r="W44" s="112"/>
      <c r="X44" s="111" t="s">
        <v>12</v>
      </c>
      <c r="Y44" s="112"/>
      <c r="Z44" s="111" t="s">
        <v>13</v>
      </c>
      <c r="AA44" s="112"/>
      <c r="AB44" s="111" t="s">
        <v>14</v>
      </c>
      <c r="AC44" s="112"/>
      <c r="AD44" s="111" t="s">
        <v>15</v>
      </c>
      <c r="AE44" s="112"/>
      <c r="AF44" s="111" t="s">
        <v>16</v>
      </c>
      <c r="AG44" s="112"/>
      <c r="AH44" s="111" t="s">
        <v>17</v>
      </c>
      <c r="AI44" s="112"/>
      <c r="AJ44" s="111" t="s">
        <v>18</v>
      </c>
      <c r="AK44" s="112"/>
      <c r="AL44" s="111" t="s">
        <v>19</v>
      </c>
      <c r="AM44" s="112"/>
      <c r="AN44" s="111" t="s">
        <v>20</v>
      </c>
      <c r="AO44" s="112"/>
      <c r="AP44" s="111" t="s">
        <v>21</v>
      </c>
      <c r="AQ44" s="112"/>
      <c r="AR44" s="111" t="s">
        <v>161</v>
      </c>
      <c r="AS44" s="112"/>
      <c r="AT44" s="111" t="s">
        <v>162</v>
      </c>
      <c r="AU44" s="112"/>
      <c r="AV44" s="111" t="s">
        <v>22</v>
      </c>
      <c r="AW44" s="112"/>
      <c r="AX44" s="111" t="s">
        <v>23</v>
      </c>
      <c r="AY44" s="112"/>
      <c r="AZ44" s="111" t="s">
        <v>24</v>
      </c>
      <c r="BA44" s="112"/>
      <c r="BB44" s="111" t="s">
        <v>25</v>
      </c>
      <c r="BC44" s="112"/>
      <c r="BD44" s="111" t="s">
        <v>26</v>
      </c>
      <c r="BE44" s="112"/>
      <c r="BF44" s="111" t="s">
        <v>27</v>
      </c>
      <c r="BG44" s="112"/>
      <c r="BH44" s="111" t="s">
        <v>28</v>
      </c>
      <c r="BI44" s="112"/>
      <c r="BJ44" s="111" t="s">
        <v>29</v>
      </c>
      <c r="BK44" s="112"/>
      <c r="BL44" s="111" t="s">
        <v>30</v>
      </c>
      <c r="BM44" s="112"/>
      <c r="BN44" s="111" t="s">
        <v>31</v>
      </c>
      <c r="BO44" s="112"/>
      <c r="BP44" s="110" t="s">
        <v>304</v>
      </c>
      <c r="BQ44" s="110"/>
    </row>
    <row r="45" spans="1:69" s="43" customFormat="1" ht="44.25" customHeight="1" x14ac:dyDescent="0.25">
      <c r="A45" s="44"/>
      <c r="B45" s="44" t="s">
        <v>286</v>
      </c>
      <c r="C45" s="44" t="s">
        <v>287</v>
      </c>
      <c r="D45" s="44" t="s">
        <v>286</v>
      </c>
      <c r="E45" s="44" t="s">
        <v>287</v>
      </c>
      <c r="F45" s="44" t="s">
        <v>286</v>
      </c>
      <c r="G45" s="44" t="s">
        <v>287</v>
      </c>
      <c r="H45" s="44" t="s">
        <v>286</v>
      </c>
      <c r="I45" s="44" t="s">
        <v>287</v>
      </c>
      <c r="J45" s="44" t="s">
        <v>286</v>
      </c>
      <c r="K45" s="44" t="s">
        <v>287</v>
      </c>
      <c r="L45" s="44" t="s">
        <v>286</v>
      </c>
      <c r="M45" s="44" t="s">
        <v>287</v>
      </c>
      <c r="N45" s="44" t="s">
        <v>286</v>
      </c>
      <c r="O45" s="44" t="s">
        <v>287</v>
      </c>
      <c r="P45" s="44" t="s">
        <v>286</v>
      </c>
      <c r="Q45" s="44" t="s">
        <v>287</v>
      </c>
      <c r="R45" s="44" t="s">
        <v>286</v>
      </c>
      <c r="S45" s="44" t="s">
        <v>287</v>
      </c>
      <c r="T45" s="44" t="s">
        <v>286</v>
      </c>
      <c r="U45" s="44" t="s">
        <v>287</v>
      </c>
      <c r="V45" s="44" t="s">
        <v>286</v>
      </c>
      <c r="W45" s="44" t="s">
        <v>287</v>
      </c>
      <c r="X45" s="44" t="s">
        <v>286</v>
      </c>
      <c r="Y45" s="44" t="s">
        <v>287</v>
      </c>
      <c r="Z45" s="44" t="s">
        <v>286</v>
      </c>
      <c r="AA45" s="44" t="s">
        <v>287</v>
      </c>
      <c r="AB45" s="44" t="s">
        <v>286</v>
      </c>
      <c r="AC45" s="44" t="s">
        <v>287</v>
      </c>
      <c r="AD45" s="44" t="s">
        <v>286</v>
      </c>
      <c r="AE45" s="44" t="s">
        <v>287</v>
      </c>
      <c r="AF45" s="44" t="s">
        <v>286</v>
      </c>
      <c r="AG45" s="44" t="s">
        <v>287</v>
      </c>
      <c r="AH45" s="44" t="s">
        <v>286</v>
      </c>
      <c r="AI45" s="44" t="s">
        <v>287</v>
      </c>
      <c r="AJ45" s="44" t="s">
        <v>286</v>
      </c>
      <c r="AK45" s="44" t="s">
        <v>287</v>
      </c>
      <c r="AL45" s="44" t="s">
        <v>286</v>
      </c>
      <c r="AM45" s="44" t="s">
        <v>287</v>
      </c>
      <c r="AN45" s="44" t="s">
        <v>286</v>
      </c>
      <c r="AO45" s="44" t="s">
        <v>287</v>
      </c>
      <c r="AP45" s="44" t="s">
        <v>286</v>
      </c>
      <c r="AQ45" s="44" t="s">
        <v>287</v>
      </c>
      <c r="AR45" s="44" t="s">
        <v>286</v>
      </c>
      <c r="AS45" s="44" t="s">
        <v>287</v>
      </c>
      <c r="AT45" s="44" t="s">
        <v>286</v>
      </c>
      <c r="AU45" s="44" t="s">
        <v>287</v>
      </c>
      <c r="AV45" s="44" t="s">
        <v>286</v>
      </c>
      <c r="AW45" s="44" t="s">
        <v>287</v>
      </c>
      <c r="AX45" s="44" t="s">
        <v>286</v>
      </c>
      <c r="AY45" s="44" t="s">
        <v>287</v>
      </c>
      <c r="AZ45" s="44" t="s">
        <v>286</v>
      </c>
      <c r="BA45" s="44" t="s">
        <v>287</v>
      </c>
      <c r="BB45" s="44" t="s">
        <v>286</v>
      </c>
      <c r="BC45" s="44" t="s">
        <v>287</v>
      </c>
      <c r="BD45" s="44" t="s">
        <v>286</v>
      </c>
      <c r="BE45" s="44" t="s">
        <v>287</v>
      </c>
      <c r="BF45" s="44" t="s">
        <v>286</v>
      </c>
      <c r="BG45" s="44" t="s">
        <v>287</v>
      </c>
      <c r="BH45" s="44" t="s">
        <v>286</v>
      </c>
      <c r="BI45" s="44" t="s">
        <v>287</v>
      </c>
      <c r="BJ45" s="44" t="s">
        <v>286</v>
      </c>
      <c r="BK45" s="44" t="s">
        <v>287</v>
      </c>
      <c r="BL45" s="44" t="s">
        <v>286</v>
      </c>
      <c r="BM45" s="44" t="s">
        <v>287</v>
      </c>
      <c r="BN45" s="44" t="s">
        <v>286</v>
      </c>
      <c r="BO45" s="44" t="s">
        <v>287</v>
      </c>
      <c r="BP45" s="44" t="s">
        <v>286</v>
      </c>
      <c r="BQ45" s="44" t="s">
        <v>287</v>
      </c>
    </row>
    <row r="46" spans="1:69" x14ac:dyDescent="0.25">
      <c r="A46" s="21" t="s">
        <v>70</v>
      </c>
      <c r="B46" s="21">
        <v>99</v>
      </c>
      <c r="C46" s="21">
        <v>161</v>
      </c>
      <c r="D46" s="21">
        <v>2012</v>
      </c>
      <c r="E46" s="21">
        <v>4794</v>
      </c>
      <c r="F46" s="21"/>
      <c r="G46" s="21"/>
      <c r="H46" s="21">
        <v>22223</v>
      </c>
      <c r="I46" s="21">
        <v>61519</v>
      </c>
      <c r="J46" s="21">
        <v>78394</v>
      </c>
      <c r="K46" s="21">
        <v>213694</v>
      </c>
      <c r="L46" s="21">
        <v>2298</v>
      </c>
      <c r="M46" s="21">
        <v>11246</v>
      </c>
      <c r="N46" s="21">
        <v>33854</v>
      </c>
      <c r="O46" s="21">
        <v>66675</v>
      </c>
      <c r="P46" s="21">
        <v>2641</v>
      </c>
      <c r="Q46" s="21">
        <v>18172</v>
      </c>
      <c r="R46" s="21">
        <v>299</v>
      </c>
      <c r="S46" s="21">
        <v>31241</v>
      </c>
      <c r="T46" s="21">
        <v>19</v>
      </c>
      <c r="U46" s="21">
        <v>218</v>
      </c>
      <c r="V46" s="21"/>
      <c r="W46" s="21"/>
      <c r="X46" s="21">
        <v>16824</v>
      </c>
      <c r="Y46" s="21">
        <v>48797</v>
      </c>
      <c r="Z46" s="21"/>
      <c r="AA46" s="21"/>
      <c r="AB46" s="21">
        <v>227580</v>
      </c>
      <c r="AC46" s="21">
        <v>625180</v>
      </c>
      <c r="AD46" s="21">
        <v>113390</v>
      </c>
      <c r="AE46" s="21">
        <v>405872</v>
      </c>
      <c r="AF46" s="21">
        <v>33486</v>
      </c>
      <c r="AG46" s="21">
        <v>118620</v>
      </c>
      <c r="AH46" s="21">
        <v>284</v>
      </c>
      <c r="AI46" s="21">
        <v>421</v>
      </c>
      <c r="AJ46" s="21">
        <v>3252</v>
      </c>
      <c r="AK46" s="21">
        <v>11838</v>
      </c>
      <c r="AL46" s="21">
        <v>2273</v>
      </c>
      <c r="AM46" s="21">
        <v>4740</v>
      </c>
      <c r="AN46" s="45">
        <v>10271</v>
      </c>
      <c r="AO46" s="45">
        <v>31230</v>
      </c>
      <c r="AP46" s="21">
        <v>21002.681999999993</v>
      </c>
      <c r="AQ46" s="21">
        <v>65956.785999999993</v>
      </c>
      <c r="AR46" s="21">
        <v>54531</v>
      </c>
      <c r="AS46" s="21">
        <v>218418</v>
      </c>
      <c r="AT46" s="21">
        <v>35431</v>
      </c>
      <c r="AU46" s="21">
        <v>102558</v>
      </c>
      <c r="AV46" s="21">
        <v>23</v>
      </c>
      <c r="AW46" s="21">
        <v>55</v>
      </c>
      <c r="AX46" s="21">
        <v>7639</v>
      </c>
      <c r="AY46" s="21">
        <v>32597</v>
      </c>
      <c r="AZ46" s="21">
        <v>50686</v>
      </c>
      <c r="BA46" s="21">
        <v>149092</v>
      </c>
      <c r="BB46" s="21">
        <v>14767</v>
      </c>
      <c r="BC46" s="21">
        <v>48118</v>
      </c>
      <c r="BD46" s="21">
        <v>174623</v>
      </c>
      <c r="BE46" s="21">
        <v>399388</v>
      </c>
      <c r="BF46" s="21">
        <v>3365</v>
      </c>
      <c r="BG46" s="21">
        <v>6011</v>
      </c>
      <c r="BH46" s="21"/>
      <c r="BI46" s="21"/>
      <c r="BJ46" s="21">
        <v>67274</v>
      </c>
      <c r="BK46" s="21">
        <v>209042</v>
      </c>
      <c r="BL46" s="21">
        <v>70326</v>
      </c>
      <c r="BM46" s="21">
        <v>144533</v>
      </c>
      <c r="BN46" s="21">
        <v>4133</v>
      </c>
      <c r="BO46" s="21">
        <v>22703</v>
      </c>
      <c r="BP46" s="21">
        <f t="shared" ref="BP46:BP49" si="10">B46+D46+F46+H46+J46+L46+N46+P46+R46+T46+V46+X46+Z46+AB46+AD46+AF46+AH46+AJ46+AL46+AN46+AP46+AR46+AT46+AV46+AX46+AZ46+BB46+BD46+BF46+BH46+BJ46+BL46+BN46</f>
        <v>1052999.682</v>
      </c>
      <c r="BQ46" s="21">
        <f t="shared" ref="BQ46:BQ49" si="11">C46+E46+G46+I46+K46+M46+O46+Q46+S46+U46+W46+Y46+AA46+AC46+AE46+AG46+AI46+AK46+AM46+AO46+AQ46+AS46+AU46+AW46+AY46+BA46+BC46+BE46+BG46+BI46+BK46+BM46+BO46</f>
        <v>3052889.7860000003</v>
      </c>
    </row>
    <row r="47" spans="1:69" x14ac:dyDescent="0.25">
      <c r="A47" s="21" t="s">
        <v>71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>
        <v>3064</v>
      </c>
      <c r="V47" s="21"/>
      <c r="W47" s="21"/>
      <c r="X47" s="21"/>
      <c r="Y47" s="21"/>
      <c r="Z47" s="21"/>
      <c r="AA47" s="21"/>
      <c r="AB47" s="21">
        <v>408</v>
      </c>
      <c r="AC47" s="21">
        <v>408</v>
      </c>
      <c r="AD47" s="21">
        <v>102</v>
      </c>
      <c r="AE47" s="21">
        <v>4260</v>
      </c>
      <c r="AF47" s="21"/>
      <c r="AG47" s="21"/>
      <c r="AH47" s="21"/>
      <c r="AI47" s="21"/>
      <c r="AJ47" s="21"/>
      <c r="AK47" s="21"/>
      <c r="AL47" s="21"/>
      <c r="AM47" s="21">
        <v>5747</v>
      </c>
      <c r="AN47" s="45"/>
      <c r="AO47" s="45"/>
      <c r="AP47" s="21">
        <v>0</v>
      </c>
      <c r="AQ47" s="21">
        <v>0</v>
      </c>
      <c r="AR47" s="21">
        <v>1621</v>
      </c>
      <c r="AS47" s="21">
        <v>6532</v>
      </c>
      <c r="AT47" s="21"/>
      <c r="AU47" s="21">
        <v>9</v>
      </c>
      <c r="AV47" s="21"/>
      <c r="AW47" s="21"/>
      <c r="AX47" s="21"/>
      <c r="AY47" s="21"/>
      <c r="AZ47" s="21"/>
      <c r="BA47" s="21"/>
      <c r="BB47" s="21">
        <v>13</v>
      </c>
      <c r="BC47" s="21">
        <v>2869</v>
      </c>
      <c r="BD47" s="21"/>
      <c r="BE47" s="21"/>
      <c r="BF47" s="21"/>
      <c r="BG47" s="21"/>
      <c r="BH47" s="21"/>
      <c r="BI47" s="21"/>
      <c r="BJ47" s="21"/>
      <c r="BK47" s="21"/>
      <c r="BL47" s="21"/>
      <c r="BM47" s="21">
        <v>1</v>
      </c>
      <c r="BN47" s="21"/>
      <c r="BO47" s="21"/>
      <c r="BP47" s="21">
        <f t="shared" si="10"/>
        <v>2144</v>
      </c>
      <c r="BQ47" s="21">
        <f t="shared" si="11"/>
        <v>22890</v>
      </c>
    </row>
    <row r="48" spans="1:69" x14ac:dyDescent="0.25">
      <c r="A48" s="21" t="s">
        <v>72</v>
      </c>
      <c r="B48" s="21">
        <v>16</v>
      </c>
      <c r="C48" s="21">
        <v>18</v>
      </c>
      <c r="D48" s="21">
        <v>1738</v>
      </c>
      <c r="E48" s="21">
        <v>3983</v>
      </c>
      <c r="F48" s="21"/>
      <c r="G48" s="21"/>
      <c r="H48" s="21">
        <v>16110</v>
      </c>
      <c r="I48" s="21">
        <v>65777</v>
      </c>
      <c r="J48" s="21">
        <v>6248</v>
      </c>
      <c r="K48" s="21">
        <v>21360</v>
      </c>
      <c r="L48" s="21">
        <v>316</v>
      </c>
      <c r="M48" s="21">
        <v>1255</v>
      </c>
      <c r="N48" s="21">
        <v>6535</v>
      </c>
      <c r="O48" s="21">
        <v>44389</v>
      </c>
      <c r="P48" s="21">
        <v>143</v>
      </c>
      <c r="Q48" s="21">
        <v>2745</v>
      </c>
      <c r="R48" s="21">
        <v>-554</v>
      </c>
      <c r="S48" s="21">
        <v>-57921</v>
      </c>
      <c r="T48" s="21">
        <v>14</v>
      </c>
      <c r="U48" s="21">
        <v>486</v>
      </c>
      <c r="V48" s="21"/>
      <c r="W48" s="21"/>
      <c r="X48" s="21">
        <v>2762</v>
      </c>
      <c r="Y48" s="21">
        <v>6848</v>
      </c>
      <c r="Z48" s="21"/>
      <c r="AA48" s="21"/>
      <c r="AB48" s="21">
        <v>-300418</v>
      </c>
      <c r="AC48" s="21">
        <v>-848764</v>
      </c>
      <c r="AD48" s="21">
        <v>34173</v>
      </c>
      <c r="AE48" s="21">
        <v>417349</v>
      </c>
      <c r="AF48" s="21">
        <v>3870</v>
      </c>
      <c r="AG48" s="21">
        <v>17130</v>
      </c>
      <c r="AH48" s="21">
        <v>11650</v>
      </c>
      <c r="AI48" s="21">
        <v>22344</v>
      </c>
      <c r="AJ48" s="21">
        <v>267</v>
      </c>
      <c r="AK48" s="21">
        <v>985</v>
      </c>
      <c r="AL48" s="21">
        <v>-1548</v>
      </c>
      <c r="AM48" s="21">
        <v>-5094</v>
      </c>
      <c r="AN48" s="45">
        <v>2768</v>
      </c>
      <c r="AO48" s="45">
        <v>7855</v>
      </c>
      <c r="AP48" s="21">
        <v>0</v>
      </c>
      <c r="AQ48" s="21">
        <v>0</v>
      </c>
      <c r="AR48" s="21">
        <v>3607</v>
      </c>
      <c r="AS48" s="21">
        <v>27199</v>
      </c>
      <c r="AT48" s="21">
        <v>14805</v>
      </c>
      <c r="AU48" s="21">
        <v>42657</v>
      </c>
      <c r="AV48" s="21">
        <v>62</v>
      </c>
      <c r="AW48" s="21">
        <v>283</v>
      </c>
      <c r="AX48" s="21">
        <v>636</v>
      </c>
      <c r="AY48" s="21">
        <v>3128</v>
      </c>
      <c r="AZ48" s="21">
        <v>28988</v>
      </c>
      <c r="BA48" s="21">
        <v>104245</v>
      </c>
      <c r="BB48" s="21">
        <v>-1607</v>
      </c>
      <c r="BC48" s="21">
        <v>-17224</v>
      </c>
      <c r="BD48" s="21">
        <v>12235</v>
      </c>
      <c r="BE48" s="21">
        <v>28707</v>
      </c>
      <c r="BF48" s="21">
        <v>14328</v>
      </c>
      <c r="BG48" s="21">
        <v>33466</v>
      </c>
      <c r="BH48" s="21"/>
      <c r="BI48" s="21"/>
      <c r="BJ48" s="21">
        <v>396668</v>
      </c>
      <c r="BK48" s="21">
        <v>908918</v>
      </c>
      <c r="BL48" s="21">
        <v>27243</v>
      </c>
      <c r="BM48" s="21">
        <v>74779</v>
      </c>
      <c r="BN48" s="21">
        <v>4760</v>
      </c>
      <c r="BO48" s="21">
        <v>11774</v>
      </c>
      <c r="BP48" s="21">
        <f t="shared" si="10"/>
        <v>285815</v>
      </c>
      <c r="BQ48" s="21">
        <f t="shared" si="11"/>
        <v>918677</v>
      </c>
    </row>
    <row r="49" spans="1:69" x14ac:dyDescent="0.25">
      <c r="A49" s="21" t="s">
        <v>73</v>
      </c>
      <c r="B49" s="21">
        <v>83</v>
      </c>
      <c r="C49" s="21">
        <v>143</v>
      </c>
      <c r="D49" s="21">
        <v>274</v>
      </c>
      <c r="E49" s="21">
        <v>811</v>
      </c>
      <c r="F49" s="21"/>
      <c r="G49" s="21"/>
      <c r="H49" s="21">
        <v>6113</v>
      </c>
      <c r="I49" s="21">
        <v>-4258</v>
      </c>
      <c r="J49" s="21">
        <v>72146</v>
      </c>
      <c r="K49" s="21">
        <v>192334</v>
      </c>
      <c r="L49" s="21">
        <v>1982</v>
      </c>
      <c r="M49" s="21">
        <v>9991</v>
      </c>
      <c r="N49" s="21">
        <v>27319</v>
      </c>
      <c r="O49" s="21">
        <v>22286</v>
      </c>
      <c r="P49" s="21">
        <v>2498</v>
      </c>
      <c r="Q49" s="21">
        <v>15427</v>
      </c>
      <c r="R49" s="21">
        <v>-255</v>
      </c>
      <c r="S49" s="21">
        <v>-26680</v>
      </c>
      <c r="T49" s="21">
        <v>5</v>
      </c>
      <c r="U49" s="21">
        <v>2796</v>
      </c>
      <c r="V49" s="21"/>
      <c r="W49" s="21"/>
      <c r="X49" s="21">
        <v>14062</v>
      </c>
      <c r="Y49" s="21">
        <v>41949</v>
      </c>
      <c r="Z49" s="21"/>
      <c r="AA49" s="21"/>
      <c r="AB49" s="21">
        <v>-72431</v>
      </c>
      <c r="AC49" s="21">
        <v>-223177</v>
      </c>
      <c r="AD49" s="21">
        <v>79319</v>
      </c>
      <c r="AE49" s="21">
        <v>-7217</v>
      </c>
      <c r="AF49" s="21">
        <v>29616</v>
      </c>
      <c r="AG49" s="21">
        <v>101490</v>
      </c>
      <c r="AH49" s="21">
        <v>-11366</v>
      </c>
      <c r="AI49" s="21">
        <v>-21923</v>
      </c>
      <c r="AJ49" s="21">
        <v>2985</v>
      </c>
      <c r="AK49" s="21">
        <v>10853</v>
      </c>
      <c r="AL49" s="21">
        <v>725</v>
      </c>
      <c r="AM49" s="21">
        <v>5393</v>
      </c>
      <c r="AN49" s="45">
        <v>7503</v>
      </c>
      <c r="AO49" s="45">
        <v>23375</v>
      </c>
      <c r="AP49" s="21">
        <v>21002.681999999993</v>
      </c>
      <c r="AQ49" s="21">
        <v>65956.785999999993</v>
      </c>
      <c r="AR49" s="21">
        <v>52544</v>
      </c>
      <c r="AS49" s="21">
        <v>197751</v>
      </c>
      <c r="AT49" s="21">
        <v>20626</v>
      </c>
      <c r="AU49" s="21">
        <v>59910</v>
      </c>
      <c r="AV49" s="21">
        <v>-39</v>
      </c>
      <c r="AW49" s="21">
        <v>-228</v>
      </c>
      <c r="AX49" s="21">
        <v>7003</v>
      </c>
      <c r="AY49" s="21">
        <v>29469</v>
      </c>
      <c r="AZ49" s="21">
        <v>21699</v>
      </c>
      <c r="BA49" s="21">
        <v>44847</v>
      </c>
      <c r="BB49" s="21">
        <v>13173</v>
      </c>
      <c r="BC49" s="21">
        <v>33763</v>
      </c>
      <c r="BD49" s="21">
        <v>162388</v>
      </c>
      <c r="BE49" s="21">
        <v>370681</v>
      </c>
      <c r="BF49" s="21">
        <v>-10963</v>
      </c>
      <c r="BG49" s="21">
        <v>-27455</v>
      </c>
      <c r="BH49" s="21"/>
      <c r="BI49" s="21"/>
      <c r="BJ49" s="21">
        <v>-329394</v>
      </c>
      <c r="BK49" s="21">
        <v>-699876</v>
      </c>
      <c r="BL49" s="21">
        <v>43083</v>
      </c>
      <c r="BM49" s="21">
        <v>69755</v>
      </c>
      <c r="BN49" s="21">
        <f>BN46+BN47-BN48</f>
        <v>-627</v>
      </c>
      <c r="BO49" s="21">
        <f>BO46+BO47-BO48</f>
        <v>10929</v>
      </c>
      <c r="BP49" s="21">
        <f t="shared" si="10"/>
        <v>161073.68200000003</v>
      </c>
      <c r="BQ49" s="21">
        <f t="shared" si="11"/>
        <v>299095.78599999996</v>
      </c>
    </row>
    <row r="51" spans="1:69" x14ac:dyDescent="0.25">
      <c r="A51" s="13" t="s">
        <v>230</v>
      </c>
    </row>
    <row r="52" spans="1:69" s="15" customFormat="1" x14ac:dyDescent="0.25">
      <c r="A52" s="23" t="s">
        <v>0</v>
      </c>
      <c r="B52" s="111" t="s">
        <v>1</v>
      </c>
      <c r="C52" s="112"/>
      <c r="D52" s="111" t="s">
        <v>2</v>
      </c>
      <c r="E52" s="112"/>
      <c r="F52" s="111" t="s">
        <v>3</v>
      </c>
      <c r="G52" s="112"/>
      <c r="H52" s="111" t="s">
        <v>4</v>
      </c>
      <c r="I52" s="112"/>
      <c r="J52" s="111" t="s">
        <v>5</v>
      </c>
      <c r="K52" s="112"/>
      <c r="L52" s="111" t="s">
        <v>6</v>
      </c>
      <c r="M52" s="112"/>
      <c r="N52" s="111" t="s">
        <v>7</v>
      </c>
      <c r="O52" s="112"/>
      <c r="P52" s="111" t="s">
        <v>8</v>
      </c>
      <c r="Q52" s="112"/>
      <c r="R52" s="111" t="s">
        <v>9</v>
      </c>
      <c r="S52" s="112"/>
      <c r="T52" s="111" t="s">
        <v>10</v>
      </c>
      <c r="U52" s="112"/>
      <c r="V52" s="111" t="s">
        <v>11</v>
      </c>
      <c r="W52" s="112"/>
      <c r="X52" s="111" t="s">
        <v>12</v>
      </c>
      <c r="Y52" s="112"/>
      <c r="Z52" s="111" t="s">
        <v>13</v>
      </c>
      <c r="AA52" s="112"/>
      <c r="AB52" s="111" t="s">
        <v>14</v>
      </c>
      <c r="AC52" s="112"/>
      <c r="AD52" s="111" t="s">
        <v>15</v>
      </c>
      <c r="AE52" s="112"/>
      <c r="AF52" s="111" t="s">
        <v>16</v>
      </c>
      <c r="AG52" s="112"/>
      <c r="AH52" s="111" t="s">
        <v>17</v>
      </c>
      <c r="AI52" s="112"/>
      <c r="AJ52" s="111" t="s">
        <v>18</v>
      </c>
      <c r="AK52" s="112"/>
      <c r="AL52" s="111" t="s">
        <v>19</v>
      </c>
      <c r="AM52" s="112"/>
      <c r="AN52" s="111" t="s">
        <v>20</v>
      </c>
      <c r="AO52" s="112"/>
      <c r="AP52" s="111" t="s">
        <v>21</v>
      </c>
      <c r="AQ52" s="112"/>
      <c r="AR52" s="111" t="s">
        <v>161</v>
      </c>
      <c r="AS52" s="112"/>
      <c r="AT52" s="111" t="s">
        <v>162</v>
      </c>
      <c r="AU52" s="112"/>
      <c r="AV52" s="111" t="s">
        <v>22</v>
      </c>
      <c r="AW52" s="112"/>
      <c r="AX52" s="111" t="s">
        <v>23</v>
      </c>
      <c r="AY52" s="112"/>
      <c r="AZ52" s="111" t="s">
        <v>24</v>
      </c>
      <c r="BA52" s="112"/>
      <c r="BB52" s="111" t="s">
        <v>25</v>
      </c>
      <c r="BC52" s="112"/>
      <c r="BD52" s="111" t="s">
        <v>26</v>
      </c>
      <c r="BE52" s="112"/>
      <c r="BF52" s="111" t="s">
        <v>27</v>
      </c>
      <c r="BG52" s="112"/>
      <c r="BH52" s="111" t="s">
        <v>28</v>
      </c>
      <c r="BI52" s="112"/>
      <c r="BJ52" s="111" t="s">
        <v>29</v>
      </c>
      <c r="BK52" s="112"/>
      <c r="BL52" s="111" t="s">
        <v>30</v>
      </c>
      <c r="BM52" s="112"/>
      <c r="BN52" s="111" t="s">
        <v>31</v>
      </c>
      <c r="BO52" s="112"/>
      <c r="BP52" s="110" t="s">
        <v>304</v>
      </c>
      <c r="BQ52" s="110"/>
    </row>
    <row r="53" spans="1:69" s="43" customFormat="1" ht="44.25" customHeight="1" x14ac:dyDescent="0.25">
      <c r="A53" s="44"/>
      <c r="B53" s="44" t="s">
        <v>286</v>
      </c>
      <c r="C53" s="44" t="s">
        <v>287</v>
      </c>
      <c r="D53" s="44" t="s">
        <v>286</v>
      </c>
      <c r="E53" s="44" t="s">
        <v>287</v>
      </c>
      <c r="F53" s="44" t="s">
        <v>286</v>
      </c>
      <c r="G53" s="44" t="s">
        <v>287</v>
      </c>
      <c r="H53" s="44" t="s">
        <v>286</v>
      </c>
      <c r="I53" s="44" t="s">
        <v>287</v>
      </c>
      <c r="J53" s="44" t="s">
        <v>286</v>
      </c>
      <c r="K53" s="44" t="s">
        <v>287</v>
      </c>
      <c r="L53" s="44" t="s">
        <v>286</v>
      </c>
      <c r="M53" s="44" t="s">
        <v>287</v>
      </c>
      <c r="N53" s="44" t="s">
        <v>286</v>
      </c>
      <c r="O53" s="44" t="s">
        <v>287</v>
      </c>
      <c r="P53" s="44" t="s">
        <v>286</v>
      </c>
      <c r="Q53" s="44" t="s">
        <v>287</v>
      </c>
      <c r="R53" s="44" t="s">
        <v>286</v>
      </c>
      <c r="S53" s="44" t="s">
        <v>287</v>
      </c>
      <c r="T53" s="44" t="s">
        <v>286</v>
      </c>
      <c r="U53" s="44" t="s">
        <v>287</v>
      </c>
      <c r="V53" s="44" t="s">
        <v>286</v>
      </c>
      <c r="W53" s="44" t="s">
        <v>287</v>
      </c>
      <c r="X53" s="44" t="s">
        <v>286</v>
      </c>
      <c r="Y53" s="44" t="s">
        <v>287</v>
      </c>
      <c r="Z53" s="44" t="s">
        <v>286</v>
      </c>
      <c r="AA53" s="44" t="s">
        <v>287</v>
      </c>
      <c r="AB53" s="44" t="s">
        <v>286</v>
      </c>
      <c r="AC53" s="44" t="s">
        <v>287</v>
      </c>
      <c r="AD53" s="44" t="s">
        <v>286</v>
      </c>
      <c r="AE53" s="44" t="s">
        <v>287</v>
      </c>
      <c r="AF53" s="44" t="s">
        <v>286</v>
      </c>
      <c r="AG53" s="44" t="s">
        <v>287</v>
      </c>
      <c r="AH53" s="44" t="s">
        <v>286</v>
      </c>
      <c r="AI53" s="44" t="s">
        <v>287</v>
      </c>
      <c r="AJ53" s="44" t="s">
        <v>286</v>
      </c>
      <c r="AK53" s="44" t="s">
        <v>287</v>
      </c>
      <c r="AL53" s="44" t="s">
        <v>286</v>
      </c>
      <c r="AM53" s="44" t="s">
        <v>287</v>
      </c>
      <c r="AN53" s="44" t="s">
        <v>286</v>
      </c>
      <c r="AO53" s="44" t="s">
        <v>287</v>
      </c>
      <c r="AP53" s="44" t="s">
        <v>286</v>
      </c>
      <c r="AQ53" s="44" t="s">
        <v>287</v>
      </c>
      <c r="AR53" s="44" t="s">
        <v>286</v>
      </c>
      <c r="AS53" s="44" t="s">
        <v>287</v>
      </c>
      <c r="AT53" s="44" t="s">
        <v>286</v>
      </c>
      <c r="AU53" s="44" t="s">
        <v>287</v>
      </c>
      <c r="AV53" s="44" t="s">
        <v>286</v>
      </c>
      <c r="AW53" s="44" t="s">
        <v>287</v>
      </c>
      <c r="AX53" s="44" t="s">
        <v>286</v>
      </c>
      <c r="AY53" s="44" t="s">
        <v>287</v>
      </c>
      <c r="AZ53" s="44" t="s">
        <v>286</v>
      </c>
      <c r="BA53" s="44" t="s">
        <v>287</v>
      </c>
      <c r="BB53" s="44" t="s">
        <v>286</v>
      </c>
      <c r="BC53" s="44" t="s">
        <v>287</v>
      </c>
      <c r="BD53" s="44" t="s">
        <v>286</v>
      </c>
      <c r="BE53" s="44" t="s">
        <v>287</v>
      </c>
      <c r="BF53" s="44" t="s">
        <v>286</v>
      </c>
      <c r="BG53" s="44" t="s">
        <v>287</v>
      </c>
      <c r="BH53" s="44" t="s">
        <v>286</v>
      </c>
      <c r="BI53" s="44" t="s">
        <v>287</v>
      </c>
      <c r="BJ53" s="44" t="s">
        <v>286</v>
      </c>
      <c r="BK53" s="44" t="s">
        <v>287</v>
      </c>
      <c r="BL53" s="44" t="s">
        <v>286</v>
      </c>
      <c r="BM53" s="44" t="s">
        <v>287</v>
      </c>
      <c r="BN53" s="44" t="s">
        <v>286</v>
      </c>
      <c r="BO53" s="44" t="s">
        <v>287</v>
      </c>
      <c r="BP53" s="44" t="s">
        <v>286</v>
      </c>
      <c r="BQ53" s="44" t="s">
        <v>287</v>
      </c>
    </row>
    <row r="54" spans="1:69" x14ac:dyDescent="0.25">
      <c r="A54" s="21" t="s">
        <v>70</v>
      </c>
      <c r="B54" s="21"/>
      <c r="C54" s="21"/>
      <c r="D54" s="21"/>
      <c r="E54" s="21"/>
      <c r="F54" s="21"/>
      <c r="G54" s="21"/>
      <c r="H54" s="21"/>
      <c r="I54" s="21"/>
      <c r="J54" s="21">
        <v>4450</v>
      </c>
      <c r="K54" s="21">
        <v>23212</v>
      </c>
      <c r="L54" s="21">
        <v>2634</v>
      </c>
      <c r="M54" s="21">
        <v>16361</v>
      </c>
      <c r="N54" s="21">
        <v>-145</v>
      </c>
      <c r="O54" s="21">
        <v>5159</v>
      </c>
      <c r="P54" s="21"/>
      <c r="Q54" s="21"/>
      <c r="R54" s="21"/>
      <c r="S54" s="21"/>
      <c r="T54" s="21"/>
      <c r="U54" s="21"/>
      <c r="V54" s="21"/>
      <c r="W54" s="21"/>
      <c r="X54" s="21">
        <v>5636</v>
      </c>
      <c r="Y54" s="21">
        <v>15476</v>
      </c>
      <c r="Z54" s="21"/>
      <c r="AA54" s="21"/>
      <c r="AB54" s="39">
        <f>664+82+40308</f>
        <v>41054</v>
      </c>
      <c r="AC54" s="39">
        <f>2232+1229+81254</f>
        <v>84715</v>
      </c>
      <c r="AD54" s="21">
        <v>4759</v>
      </c>
      <c r="AE54" s="21">
        <v>13507</v>
      </c>
      <c r="AF54" s="21">
        <v>9370</v>
      </c>
      <c r="AG54" s="21">
        <v>42622</v>
      </c>
      <c r="AH54" s="21"/>
      <c r="AI54" s="21"/>
      <c r="AJ54" s="21">
        <v>1658</v>
      </c>
      <c r="AK54" s="21">
        <v>5844</v>
      </c>
      <c r="AL54" s="21">
        <v>3072</v>
      </c>
      <c r="AM54" s="21">
        <v>5545</v>
      </c>
      <c r="AN54" s="21"/>
      <c r="AO54" s="21"/>
      <c r="AP54" s="21">
        <f>14600+11650.883</f>
        <v>26250.883000000002</v>
      </c>
      <c r="AQ54" s="21">
        <f>42671+35442.489</f>
        <v>78113.489000000001</v>
      </c>
      <c r="AR54" s="21">
        <v>119697</v>
      </c>
      <c r="AS54" s="21">
        <v>370159</v>
      </c>
      <c r="AT54" s="21">
        <v>16391</v>
      </c>
      <c r="AU54" s="21">
        <v>54524</v>
      </c>
      <c r="AV54" s="21">
        <f>613+893+10358</f>
        <v>11864</v>
      </c>
      <c r="AW54" s="21">
        <f>1502+4559+31278</f>
        <v>37339</v>
      </c>
      <c r="AX54" s="48">
        <v>9643</v>
      </c>
      <c r="AY54" s="48">
        <v>30783</v>
      </c>
      <c r="AZ54" s="21"/>
      <c r="BA54" s="21"/>
      <c r="BB54" s="21">
        <f>1979+1844</f>
        <v>3823</v>
      </c>
      <c r="BC54" s="21">
        <f>5636+3558</f>
        <v>9194</v>
      </c>
      <c r="BD54" s="21">
        <f>4260+748</f>
        <v>5008</v>
      </c>
      <c r="BE54" s="21">
        <f>9550+1408</f>
        <v>10958</v>
      </c>
      <c r="BF54" s="21">
        <f>878+49</f>
        <v>927</v>
      </c>
      <c r="BG54" s="21">
        <f>2316+342</f>
        <v>2658</v>
      </c>
      <c r="BH54" s="21"/>
      <c r="BI54" s="21"/>
      <c r="BJ54" s="21">
        <v>61745</v>
      </c>
      <c r="BK54" s="21">
        <v>290538</v>
      </c>
      <c r="BL54" s="21">
        <v>13120</v>
      </c>
      <c r="BM54" s="21">
        <v>65577</v>
      </c>
      <c r="BN54" s="21">
        <v>64</v>
      </c>
      <c r="BO54" s="21">
        <v>551</v>
      </c>
      <c r="BP54" s="21">
        <f t="shared" ref="BP54:BP57" si="12">B54+D54+F54+H54+J54+L54+N54+P54+R54+T54+V54+X54+Z54+AB54+AD54+AF54+AH54+AJ54+AL54+AN54+AP54+AR54+AT54+AV54+AX54+AZ54+BB54+BD54+BF54+BH54+BJ54+BL54+BN54</f>
        <v>341020.88300000003</v>
      </c>
      <c r="BQ54" s="21">
        <f t="shared" ref="BQ54:BQ57" si="13">C54+E54+G54+I54+K54+M54+O54+Q54+S54+U54+W54+Y54+AA54+AC54+AE54+AG54+AI54+AK54+AM54+AO54+AQ54+AS54+AU54+AW54+AY54+BA54+BC54+BE54+BG54+BI54+BK54+BM54+BO54</f>
        <v>1162835.4890000001</v>
      </c>
    </row>
    <row r="55" spans="1:69" x14ac:dyDescent="0.25">
      <c r="A55" s="21" t="s">
        <v>71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>
        <v>416</v>
      </c>
      <c r="M55" s="21">
        <v>1077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>
        <v>756</v>
      </c>
      <c r="Y55" s="21">
        <v>1504</v>
      </c>
      <c r="Z55" s="21"/>
      <c r="AA55" s="21"/>
      <c r="AB55" s="39">
        <f>7292</f>
        <v>7292</v>
      </c>
      <c r="AC55" s="39">
        <f>315+36+7292</f>
        <v>7643</v>
      </c>
      <c r="AD55" s="21">
        <v>1509</v>
      </c>
      <c r="AE55" s="21">
        <v>2005</v>
      </c>
      <c r="AF55" s="21">
        <v>448</v>
      </c>
      <c r="AG55" s="21">
        <v>2927</v>
      </c>
      <c r="AH55" s="21"/>
      <c r="AI55" s="21"/>
      <c r="AJ55" s="21"/>
      <c r="AK55" s="21"/>
      <c r="AL55" s="21">
        <v>369</v>
      </c>
      <c r="AM55" s="21">
        <v>478</v>
      </c>
      <c r="AN55" s="21"/>
      <c r="AO55" s="21"/>
      <c r="AP55" s="21">
        <v>0</v>
      </c>
      <c r="AQ55" s="21">
        <v>0</v>
      </c>
      <c r="AR55" s="21">
        <v>158</v>
      </c>
      <c r="AS55" s="21">
        <v>300</v>
      </c>
      <c r="AT55" s="21">
        <v>54</v>
      </c>
      <c r="AU55" s="21">
        <v>253</v>
      </c>
      <c r="AV55" s="21">
        <f>705+4706</f>
        <v>5411</v>
      </c>
      <c r="AW55" s="21">
        <f>960+18026</f>
        <v>18986</v>
      </c>
      <c r="AX55" s="48">
        <v>114</v>
      </c>
      <c r="AY55" s="48">
        <v>489</v>
      </c>
      <c r="AZ55" s="21"/>
      <c r="BA55" s="21"/>
      <c r="BB55" s="21"/>
      <c r="BC55" s="21"/>
      <c r="BD55" s="21">
        <v>47</v>
      </c>
      <c r="BE55" s="21">
        <v>549</v>
      </c>
      <c r="BF55" s="21"/>
      <c r="BG55" s="21"/>
      <c r="BH55" s="21"/>
      <c r="BI55" s="21"/>
      <c r="BJ55" s="21">
        <v>16122</v>
      </c>
      <c r="BK55" s="21">
        <v>43917</v>
      </c>
      <c r="BL55" s="21">
        <v>393</v>
      </c>
      <c r="BM55" s="21">
        <v>509</v>
      </c>
      <c r="BN55" s="21"/>
      <c r="BO55" s="21"/>
      <c r="BP55" s="21">
        <f t="shared" si="12"/>
        <v>33089</v>
      </c>
      <c r="BQ55" s="21">
        <f t="shared" si="13"/>
        <v>80637</v>
      </c>
    </row>
    <row r="56" spans="1:69" x14ac:dyDescent="0.25">
      <c r="A56" s="21" t="s">
        <v>72</v>
      </c>
      <c r="B56" s="21">
        <v>13183</v>
      </c>
      <c r="C56" s="21">
        <v>14659</v>
      </c>
      <c r="D56" s="21"/>
      <c r="E56" s="21"/>
      <c r="F56" s="21"/>
      <c r="G56" s="21"/>
      <c r="H56" s="21"/>
      <c r="I56" s="21"/>
      <c r="J56" s="21">
        <v>940</v>
      </c>
      <c r="K56" s="21">
        <v>14475</v>
      </c>
      <c r="L56" s="21">
        <v>2913</v>
      </c>
      <c r="M56" s="21">
        <v>9625</v>
      </c>
      <c r="N56" s="21">
        <v>167</v>
      </c>
      <c r="O56" s="21">
        <v>3341</v>
      </c>
      <c r="P56" s="21"/>
      <c r="Q56" s="21"/>
      <c r="R56" s="21"/>
      <c r="S56" s="21"/>
      <c r="T56" s="21"/>
      <c r="U56" s="21"/>
      <c r="V56" s="21"/>
      <c r="W56" s="21"/>
      <c r="X56" s="21">
        <v>4558</v>
      </c>
      <c r="Y56" s="21">
        <v>17099</v>
      </c>
      <c r="Z56" s="21"/>
      <c r="AA56" s="21"/>
      <c r="AB56" s="39">
        <f>-23718</f>
        <v>-23718</v>
      </c>
      <c r="AC56" s="39">
        <f>-40773</f>
        <v>-40773</v>
      </c>
      <c r="AD56" s="21">
        <v>82</v>
      </c>
      <c r="AE56" s="21">
        <v>8943</v>
      </c>
      <c r="AF56" s="21">
        <v>2512</v>
      </c>
      <c r="AG56" s="21">
        <v>11019</v>
      </c>
      <c r="AH56" s="21"/>
      <c r="AI56" s="21"/>
      <c r="AJ56" s="21">
        <v>8214</v>
      </c>
      <c r="AK56" s="21">
        <v>8529</v>
      </c>
      <c r="AL56" s="21">
        <v>-8528</v>
      </c>
      <c r="AM56" s="21">
        <v>-16545</v>
      </c>
      <c r="AN56" s="21"/>
      <c r="AO56" s="21"/>
      <c r="AP56" s="21">
        <v>-4</v>
      </c>
      <c r="AQ56" s="21">
        <v>7.0999999999999994E-2</v>
      </c>
      <c r="AR56" s="21">
        <v>29104</v>
      </c>
      <c r="AS56" s="21">
        <v>92713</v>
      </c>
      <c r="AT56" s="21">
        <v>1977</v>
      </c>
      <c r="AU56" s="21">
        <v>5388</v>
      </c>
      <c r="AV56" s="21">
        <f>29+45+898</f>
        <v>972</v>
      </c>
      <c r="AW56" s="21">
        <f>72+393+3812</f>
        <v>4277</v>
      </c>
      <c r="AX56" s="48">
        <v>3858</v>
      </c>
      <c r="AY56" s="48">
        <v>6389</v>
      </c>
      <c r="AZ56" s="21"/>
      <c r="BA56" s="21"/>
      <c r="BB56" s="21">
        <f>-206-2884</f>
        <v>-3090</v>
      </c>
      <c r="BC56" s="21">
        <f>-763-7869</f>
        <v>-8632</v>
      </c>
      <c r="BD56" s="21">
        <f>6438+1316</f>
        <v>7754</v>
      </c>
      <c r="BE56" s="21">
        <f>19727+3084</f>
        <v>22811</v>
      </c>
      <c r="BF56" s="21">
        <f>59+6</f>
        <v>65</v>
      </c>
      <c r="BG56" s="21">
        <f>215+33</f>
        <v>248</v>
      </c>
      <c r="BH56" s="21"/>
      <c r="BI56" s="21"/>
      <c r="BJ56" s="21">
        <v>59153</v>
      </c>
      <c r="BK56" s="21">
        <v>196209</v>
      </c>
      <c r="BL56" s="21">
        <v>894</v>
      </c>
      <c r="BM56" s="21">
        <v>6261</v>
      </c>
      <c r="BN56" s="21">
        <v>98</v>
      </c>
      <c r="BO56" s="21">
        <v>194</v>
      </c>
      <c r="BP56" s="21">
        <f t="shared" si="12"/>
        <v>101104</v>
      </c>
      <c r="BQ56" s="21">
        <f t="shared" si="13"/>
        <v>356230.071</v>
      </c>
    </row>
    <row r="57" spans="1:69" x14ac:dyDescent="0.25">
      <c r="A57" s="21" t="s">
        <v>73</v>
      </c>
      <c r="B57" s="21">
        <v>-13183</v>
      </c>
      <c r="C57" s="21">
        <v>-14659</v>
      </c>
      <c r="D57" s="21"/>
      <c r="E57" s="21"/>
      <c r="F57" s="21"/>
      <c r="G57" s="21"/>
      <c r="H57" s="21"/>
      <c r="I57" s="21"/>
      <c r="J57" s="21">
        <v>3510</v>
      </c>
      <c r="K57" s="21">
        <v>8737</v>
      </c>
      <c r="L57" s="21">
        <v>136</v>
      </c>
      <c r="M57" s="21">
        <v>7813</v>
      </c>
      <c r="N57" s="21">
        <v>-312</v>
      </c>
      <c r="O57" s="21">
        <v>1818</v>
      </c>
      <c r="P57" s="21"/>
      <c r="Q57" s="21"/>
      <c r="R57" s="21"/>
      <c r="S57" s="21"/>
      <c r="T57" s="21"/>
      <c r="U57" s="21"/>
      <c r="V57" s="21"/>
      <c r="W57" s="21"/>
      <c r="X57" s="21">
        <v>1834</v>
      </c>
      <c r="Y57" s="21">
        <v>-119</v>
      </c>
      <c r="Z57" s="21"/>
      <c r="AA57" s="21"/>
      <c r="AB57" s="39">
        <f>659+23969</f>
        <v>24628</v>
      </c>
      <c r="AC57" s="39">
        <f>2351+788+48445</f>
        <v>51584</v>
      </c>
      <c r="AD57" s="21">
        <v>6186</v>
      </c>
      <c r="AE57" s="21">
        <v>6569</v>
      </c>
      <c r="AF57" s="21">
        <v>7306</v>
      </c>
      <c r="AG57" s="21">
        <v>34530</v>
      </c>
      <c r="AH57" s="21"/>
      <c r="AI57" s="21"/>
      <c r="AJ57" s="21">
        <v>-6556</v>
      </c>
      <c r="AK57" s="21">
        <v>-2686</v>
      </c>
      <c r="AL57" s="21">
        <v>-5087</v>
      </c>
      <c r="AM57" s="21">
        <v>-10522</v>
      </c>
      <c r="AN57" s="21"/>
      <c r="AO57" s="21"/>
      <c r="AP57" s="21">
        <f>14604+11651.091</f>
        <v>26255.091</v>
      </c>
      <c r="AQ57" s="21">
        <f>42671+35442.418</f>
        <v>78113.418000000005</v>
      </c>
      <c r="AR57" s="21">
        <v>90750</v>
      </c>
      <c r="AS57" s="21">
        <v>277746</v>
      </c>
      <c r="AT57" s="21">
        <v>14468</v>
      </c>
      <c r="AU57" s="21">
        <v>49389</v>
      </c>
      <c r="AV57" s="21">
        <f>583+1553+14166</f>
        <v>16302</v>
      </c>
      <c r="AW57" s="21">
        <f>1430+5125+45492</f>
        <v>52047</v>
      </c>
      <c r="AX57" s="48">
        <v>8025</v>
      </c>
      <c r="AY57" s="48">
        <v>24883</v>
      </c>
      <c r="AZ57" s="21"/>
      <c r="BA57" s="21"/>
      <c r="BB57" s="21">
        <f>1773-1040</f>
        <v>733</v>
      </c>
      <c r="BC57" s="21">
        <f>4873-4311</f>
        <v>562</v>
      </c>
      <c r="BD57" s="21">
        <f>-2131-568</f>
        <v>-2699</v>
      </c>
      <c r="BE57" s="21">
        <f>-9628-1676</f>
        <v>-11304</v>
      </c>
      <c r="BF57" s="21">
        <f>819+43</f>
        <v>862</v>
      </c>
      <c r="BG57" s="21">
        <f>2102+308</f>
        <v>2410</v>
      </c>
      <c r="BH57" s="21"/>
      <c r="BI57" s="21"/>
      <c r="BJ57" s="21">
        <v>18714</v>
      </c>
      <c r="BK57" s="21">
        <v>138246</v>
      </c>
      <c r="BL57" s="21">
        <v>12619</v>
      </c>
      <c r="BM57" s="21">
        <v>59825</v>
      </c>
      <c r="BN57" s="21">
        <f>BN54+BN55-BN56</f>
        <v>-34</v>
      </c>
      <c r="BO57" s="21">
        <f>BO54+BO55-BO56</f>
        <v>357</v>
      </c>
      <c r="BP57" s="21">
        <f t="shared" si="12"/>
        <v>204457.09100000001</v>
      </c>
      <c r="BQ57" s="21">
        <f t="shared" si="13"/>
        <v>755339.41800000006</v>
      </c>
    </row>
    <row r="58" spans="1:69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3"/>
      <c r="AC58" s="3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76"/>
      <c r="AY58" s="76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</row>
    <row r="59" spans="1:69" x14ac:dyDescent="0.25">
      <c r="A59" s="77" t="s">
        <v>306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3"/>
      <c r="AC59" s="3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76"/>
      <c r="AY59" s="76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</row>
    <row r="60" spans="1:69" s="15" customFormat="1" x14ac:dyDescent="0.25">
      <c r="A60" s="23" t="s">
        <v>0</v>
      </c>
      <c r="B60" s="111" t="s">
        <v>1</v>
      </c>
      <c r="C60" s="112"/>
      <c r="D60" s="111" t="s">
        <v>2</v>
      </c>
      <c r="E60" s="112"/>
      <c r="F60" s="111" t="s">
        <v>3</v>
      </c>
      <c r="G60" s="112"/>
      <c r="H60" s="111" t="s">
        <v>4</v>
      </c>
      <c r="I60" s="112"/>
      <c r="J60" s="111" t="s">
        <v>5</v>
      </c>
      <c r="K60" s="112"/>
      <c r="L60" s="111" t="s">
        <v>6</v>
      </c>
      <c r="M60" s="112"/>
      <c r="N60" s="111" t="s">
        <v>7</v>
      </c>
      <c r="O60" s="112"/>
      <c r="P60" s="111" t="s">
        <v>8</v>
      </c>
      <c r="Q60" s="112"/>
      <c r="R60" s="111" t="s">
        <v>9</v>
      </c>
      <c r="S60" s="112"/>
      <c r="T60" s="111" t="s">
        <v>10</v>
      </c>
      <c r="U60" s="112"/>
      <c r="V60" s="111" t="s">
        <v>11</v>
      </c>
      <c r="W60" s="112"/>
      <c r="X60" s="111" t="s">
        <v>12</v>
      </c>
      <c r="Y60" s="112"/>
      <c r="Z60" s="111" t="s">
        <v>13</v>
      </c>
      <c r="AA60" s="112"/>
      <c r="AB60" s="111" t="s">
        <v>14</v>
      </c>
      <c r="AC60" s="112"/>
      <c r="AD60" s="111" t="s">
        <v>15</v>
      </c>
      <c r="AE60" s="112"/>
      <c r="AF60" s="111" t="s">
        <v>16</v>
      </c>
      <c r="AG60" s="112"/>
      <c r="AH60" s="111" t="s">
        <v>17</v>
      </c>
      <c r="AI60" s="112"/>
      <c r="AJ60" s="111" t="s">
        <v>18</v>
      </c>
      <c r="AK60" s="112"/>
      <c r="AL60" s="111" t="s">
        <v>19</v>
      </c>
      <c r="AM60" s="112"/>
      <c r="AN60" s="111" t="s">
        <v>20</v>
      </c>
      <c r="AO60" s="112"/>
      <c r="AP60" s="111" t="s">
        <v>21</v>
      </c>
      <c r="AQ60" s="112"/>
      <c r="AR60" s="111" t="s">
        <v>161</v>
      </c>
      <c r="AS60" s="112"/>
      <c r="AT60" s="111" t="s">
        <v>162</v>
      </c>
      <c r="AU60" s="112"/>
      <c r="AV60" s="111" t="s">
        <v>22</v>
      </c>
      <c r="AW60" s="112"/>
      <c r="AX60" s="111" t="s">
        <v>23</v>
      </c>
      <c r="AY60" s="112"/>
      <c r="AZ60" s="111" t="s">
        <v>24</v>
      </c>
      <c r="BA60" s="112"/>
      <c r="BB60" s="111" t="s">
        <v>25</v>
      </c>
      <c r="BC60" s="112"/>
      <c r="BD60" s="111" t="s">
        <v>26</v>
      </c>
      <c r="BE60" s="112"/>
      <c r="BF60" s="111" t="s">
        <v>27</v>
      </c>
      <c r="BG60" s="112"/>
      <c r="BH60" s="111" t="s">
        <v>28</v>
      </c>
      <c r="BI60" s="112"/>
      <c r="BJ60" s="111" t="s">
        <v>29</v>
      </c>
      <c r="BK60" s="112"/>
      <c r="BL60" s="111" t="s">
        <v>30</v>
      </c>
      <c r="BM60" s="112"/>
      <c r="BN60" s="111" t="s">
        <v>31</v>
      </c>
      <c r="BO60" s="112"/>
      <c r="BP60" s="110" t="s">
        <v>304</v>
      </c>
      <c r="BQ60" s="110"/>
    </row>
    <row r="61" spans="1:69" s="43" customFormat="1" ht="44.25" customHeight="1" x14ac:dyDescent="0.25">
      <c r="A61" s="44"/>
      <c r="B61" s="44" t="s">
        <v>286</v>
      </c>
      <c r="C61" s="44" t="s">
        <v>287</v>
      </c>
      <c r="D61" s="44" t="s">
        <v>286</v>
      </c>
      <c r="E61" s="44" t="s">
        <v>287</v>
      </c>
      <c r="F61" s="44" t="s">
        <v>286</v>
      </c>
      <c r="G61" s="44" t="s">
        <v>287</v>
      </c>
      <c r="H61" s="44" t="s">
        <v>286</v>
      </c>
      <c r="I61" s="44" t="s">
        <v>287</v>
      </c>
      <c r="J61" s="44" t="s">
        <v>286</v>
      </c>
      <c r="K61" s="44" t="s">
        <v>287</v>
      </c>
      <c r="L61" s="44" t="s">
        <v>286</v>
      </c>
      <c r="M61" s="44" t="s">
        <v>287</v>
      </c>
      <c r="N61" s="44" t="s">
        <v>286</v>
      </c>
      <c r="O61" s="44" t="s">
        <v>287</v>
      </c>
      <c r="P61" s="44" t="s">
        <v>286</v>
      </c>
      <c r="Q61" s="44" t="s">
        <v>287</v>
      </c>
      <c r="R61" s="44" t="s">
        <v>286</v>
      </c>
      <c r="S61" s="44" t="s">
        <v>287</v>
      </c>
      <c r="T61" s="44" t="s">
        <v>286</v>
      </c>
      <c r="U61" s="44" t="s">
        <v>287</v>
      </c>
      <c r="V61" s="44" t="s">
        <v>286</v>
      </c>
      <c r="W61" s="44" t="s">
        <v>287</v>
      </c>
      <c r="X61" s="44" t="s">
        <v>286</v>
      </c>
      <c r="Y61" s="44" t="s">
        <v>287</v>
      </c>
      <c r="Z61" s="44" t="s">
        <v>286</v>
      </c>
      <c r="AA61" s="44" t="s">
        <v>287</v>
      </c>
      <c r="AB61" s="44" t="s">
        <v>286</v>
      </c>
      <c r="AC61" s="44" t="s">
        <v>287</v>
      </c>
      <c r="AD61" s="44" t="s">
        <v>286</v>
      </c>
      <c r="AE61" s="44" t="s">
        <v>287</v>
      </c>
      <c r="AF61" s="44" t="s">
        <v>286</v>
      </c>
      <c r="AG61" s="44" t="s">
        <v>287</v>
      </c>
      <c r="AH61" s="44" t="s">
        <v>286</v>
      </c>
      <c r="AI61" s="44" t="s">
        <v>287</v>
      </c>
      <c r="AJ61" s="44" t="s">
        <v>286</v>
      </c>
      <c r="AK61" s="44" t="s">
        <v>287</v>
      </c>
      <c r="AL61" s="44" t="s">
        <v>286</v>
      </c>
      <c r="AM61" s="44" t="s">
        <v>287</v>
      </c>
      <c r="AN61" s="44" t="s">
        <v>286</v>
      </c>
      <c r="AO61" s="44" t="s">
        <v>287</v>
      </c>
      <c r="AP61" s="44" t="s">
        <v>286</v>
      </c>
      <c r="AQ61" s="44" t="s">
        <v>287</v>
      </c>
      <c r="AR61" s="44" t="s">
        <v>286</v>
      </c>
      <c r="AS61" s="44" t="s">
        <v>287</v>
      </c>
      <c r="AT61" s="44" t="s">
        <v>286</v>
      </c>
      <c r="AU61" s="44" t="s">
        <v>287</v>
      </c>
      <c r="AV61" s="44" t="s">
        <v>286</v>
      </c>
      <c r="AW61" s="44" t="s">
        <v>287</v>
      </c>
      <c r="AX61" s="44" t="s">
        <v>286</v>
      </c>
      <c r="AY61" s="44" t="s">
        <v>287</v>
      </c>
      <c r="AZ61" s="44" t="s">
        <v>286</v>
      </c>
      <c r="BA61" s="44" t="s">
        <v>287</v>
      </c>
      <c r="BB61" s="44" t="s">
        <v>286</v>
      </c>
      <c r="BC61" s="44" t="s">
        <v>287</v>
      </c>
      <c r="BD61" s="44" t="s">
        <v>286</v>
      </c>
      <c r="BE61" s="44" t="s">
        <v>287</v>
      </c>
      <c r="BF61" s="44" t="s">
        <v>286</v>
      </c>
      <c r="BG61" s="44" t="s">
        <v>287</v>
      </c>
      <c r="BH61" s="44" t="s">
        <v>286</v>
      </c>
      <c r="BI61" s="44" t="s">
        <v>287</v>
      </c>
      <c r="BJ61" s="44" t="s">
        <v>286</v>
      </c>
      <c r="BK61" s="44" t="s">
        <v>287</v>
      </c>
      <c r="BL61" s="44" t="s">
        <v>286</v>
      </c>
      <c r="BM61" s="44" t="s">
        <v>287</v>
      </c>
      <c r="BN61" s="44" t="s">
        <v>286</v>
      </c>
      <c r="BO61" s="44" t="s">
        <v>287</v>
      </c>
      <c r="BP61" s="44" t="s">
        <v>286</v>
      </c>
      <c r="BQ61" s="44" t="s">
        <v>287</v>
      </c>
    </row>
    <row r="62" spans="1:69" x14ac:dyDescent="0.25">
      <c r="A62" s="21" t="s">
        <v>70</v>
      </c>
      <c r="B62" s="21"/>
      <c r="C62" s="21"/>
      <c r="D62" s="21"/>
      <c r="E62" s="21"/>
      <c r="F62" s="21"/>
      <c r="G62" s="21"/>
      <c r="H62" s="21"/>
      <c r="I62" s="21"/>
      <c r="J62" s="21">
        <v>1707</v>
      </c>
      <c r="K62" s="21">
        <v>4262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>
        <v>2298</v>
      </c>
      <c r="AC62" s="39">
        <v>3862</v>
      </c>
      <c r="AD62" s="21">
        <v>2484</v>
      </c>
      <c r="AE62" s="21">
        <v>6934</v>
      </c>
      <c r="AF62" s="21">
        <v>19</v>
      </c>
      <c r="AG62" s="21">
        <v>7</v>
      </c>
      <c r="AH62" s="21"/>
      <c r="AI62" s="21"/>
      <c r="AJ62" s="21"/>
      <c r="AK62" s="21"/>
      <c r="AL62" s="21"/>
      <c r="AM62" s="21"/>
      <c r="AN62" s="21"/>
      <c r="AO62" s="21"/>
      <c r="AP62" s="21">
        <v>696.1400000000001</v>
      </c>
      <c r="AQ62" s="21">
        <v>1447.1980000000001</v>
      </c>
      <c r="AR62" s="21">
        <v>1989</v>
      </c>
      <c r="AS62" s="21">
        <v>8309</v>
      </c>
      <c r="AT62" s="21">
        <v>1295</v>
      </c>
      <c r="AU62" s="21">
        <v>6367</v>
      </c>
      <c r="AV62" s="21"/>
      <c r="AW62" s="21"/>
      <c r="AX62" s="48">
        <v>737</v>
      </c>
      <c r="AY62" s="48">
        <v>1775</v>
      </c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>
        <v>2039</v>
      </c>
      <c r="BK62" s="21">
        <v>4871</v>
      </c>
      <c r="BL62" s="21">
        <v>1515</v>
      </c>
      <c r="BM62" s="21">
        <v>4784</v>
      </c>
      <c r="BN62" s="21"/>
      <c r="BO62" s="21"/>
      <c r="BP62" s="21">
        <f t="shared" ref="BP62:BP65" si="14">B62+D62+F62+H62+J62+L62+N62+P62+R62+T62+V62+X62+Z62+AB62+AD62+AF62+AH62+AJ62+AL62+AN62+AP62+AR62+AT62+AV62+AX62+AZ62+BB62+BD62+BF62+BH62+BJ62+BL62+BN62</f>
        <v>14779.14</v>
      </c>
      <c r="BQ62" s="21">
        <f t="shared" ref="BQ62:BQ65" si="15">C62+E62+G62+I62+K62+M62+O62+Q62+S62+U62+W62+Y62+AA62+AC62+AE62+AG62+AI62+AK62+AM62+AO62+AQ62+AS62+AU62+AW62+AY62+BA62+BC62+BE62+BG62+BI62+BK62+BM62+BO62</f>
        <v>42618.198000000004</v>
      </c>
    </row>
    <row r="63" spans="1:69" x14ac:dyDescent="0.25">
      <c r="A63" s="21" t="s">
        <v>71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39">
        <v>85</v>
      </c>
      <c r="AC63" s="39">
        <v>85</v>
      </c>
      <c r="AD63" s="21">
        <v>1520</v>
      </c>
      <c r="AE63" s="21">
        <v>13643</v>
      </c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>
        <v>40.424000000000035</v>
      </c>
      <c r="AQ63" s="21">
        <v>507.31700000000001</v>
      </c>
      <c r="AR63" s="21">
        <v>35118</v>
      </c>
      <c r="AS63" s="21">
        <v>142720</v>
      </c>
      <c r="AT63" s="21">
        <v>14037</v>
      </c>
      <c r="AU63" s="21">
        <v>32254</v>
      </c>
      <c r="AV63" s="21"/>
      <c r="AW63" s="21"/>
      <c r="AX63" s="48"/>
      <c r="AY63" s="48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>
        <v>2666</v>
      </c>
      <c r="BM63" s="21">
        <v>8055</v>
      </c>
      <c r="BN63" s="21"/>
      <c r="BO63" s="21"/>
      <c r="BP63" s="21">
        <f t="shared" si="14"/>
        <v>53466.423999999999</v>
      </c>
      <c r="BQ63" s="21">
        <f t="shared" si="15"/>
        <v>197264.31700000001</v>
      </c>
    </row>
    <row r="64" spans="1:69" x14ac:dyDescent="0.25">
      <c r="A64" s="21" t="s">
        <v>72</v>
      </c>
      <c r="B64" s="21"/>
      <c r="C64" s="21"/>
      <c r="D64" s="21"/>
      <c r="E64" s="21"/>
      <c r="F64" s="21"/>
      <c r="G64" s="21"/>
      <c r="H64" s="21"/>
      <c r="I64" s="21"/>
      <c r="J64" s="21">
        <v>352</v>
      </c>
      <c r="K64" s="21">
        <v>2246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39">
        <v>-3637</v>
      </c>
      <c r="AC64" s="39">
        <v>-8439</v>
      </c>
      <c r="AD64" s="21">
        <v>2441</v>
      </c>
      <c r="AE64" s="21">
        <v>10845</v>
      </c>
      <c r="AF64" s="21">
        <v>5</v>
      </c>
      <c r="AG64" s="21">
        <v>11</v>
      </c>
      <c r="AH64" s="21"/>
      <c r="AI64" s="21"/>
      <c r="AJ64" s="21"/>
      <c r="AK64" s="21"/>
      <c r="AL64" s="21"/>
      <c r="AM64" s="21"/>
      <c r="AN64" s="21"/>
      <c r="AO64" s="21"/>
      <c r="AP64" s="21">
        <v>-334.8700000000008</v>
      </c>
      <c r="AQ64" s="21">
        <v>15363.9</v>
      </c>
      <c r="AR64" s="21">
        <v>29077</v>
      </c>
      <c r="AS64" s="21">
        <v>56522</v>
      </c>
      <c r="AT64" s="21">
        <v>9856</v>
      </c>
      <c r="AU64" s="21">
        <v>28595</v>
      </c>
      <c r="AV64" s="21"/>
      <c r="AW64" s="21"/>
      <c r="AX64" s="48">
        <v>780</v>
      </c>
      <c r="AY64" s="48">
        <v>2986</v>
      </c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>
        <v>449</v>
      </c>
      <c r="BK64" s="21">
        <v>1179</v>
      </c>
      <c r="BL64" s="21">
        <v>20564</v>
      </c>
      <c r="BM64" s="21">
        <v>24883</v>
      </c>
      <c r="BN64" s="21"/>
      <c r="BO64" s="21"/>
      <c r="BP64" s="21">
        <f t="shared" si="14"/>
        <v>59552.13</v>
      </c>
      <c r="BQ64" s="21">
        <f t="shared" si="15"/>
        <v>134191.9</v>
      </c>
    </row>
    <row r="65" spans="1:69" x14ac:dyDescent="0.25">
      <c r="A65" s="21" t="s">
        <v>73</v>
      </c>
      <c r="B65" s="21"/>
      <c r="C65" s="21"/>
      <c r="D65" s="21"/>
      <c r="E65" s="21"/>
      <c r="F65" s="21"/>
      <c r="G65" s="21"/>
      <c r="H65" s="21"/>
      <c r="I65" s="21"/>
      <c r="J65" s="21">
        <v>1355</v>
      </c>
      <c r="K65" s="21">
        <v>2016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39">
        <v>-1255</v>
      </c>
      <c r="AC65" s="39">
        <v>-4492</v>
      </c>
      <c r="AD65" s="21">
        <v>1563</v>
      </c>
      <c r="AE65" s="21">
        <v>9732</v>
      </c>
      <c r="AF65" s="21">
        <v>14</v>
      </c>
      <c r="AG65" s="21">
        <v>-4</v>
      </c>
      <c r="AH65" s="21"/>
      <c r="AI65" s="21"/>
      <c r="AJ65" s="21"/>
      <c r="AK65" s="21"/>
      <c r="AL65" s="21"/>
      <c r="AM65" s="21"/>
      <c r="AN65" s="21"/>
      <c r="AO65" s="21"/>
      <c r="AP65" s="21">
        <v>1071.4340000000009</v>
      </c>
      <c r="AQ65" s="21">
        <v>-13409.385</v>
      </c>
      <c r="AR65" s="21">
        <v>8030</v>
      </c>
      <c r="AS65" s="21">
        <v>94507</v>
      </c>
      <c r="AT65" s="21">
        <v>5476</v>
      </c>
      <c r="AU65" s="21">
        <v>10026</v>
      </c>
      <c r="AV65" s="21"/>
      <c r="AW65" s="21"/>
      <c r="AX65" s="48">
        <v>-43</v>
      </c>
      <c r="AY65" s="48">
        <v>-1211</v>
      </c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>
        <v>1590</v>
      </c>
      <c r="BK65" s="21">
        <v>3692</v>
      </c>
      <c r="BL65" s="21">
        <v>-16383</v>
      </c>
      <c r="BM65" s="21">
        <v>-12044</v>
      </c>
      <c r="BN65" s="21"/>
      <c r="BO65" s="21"/>
      <c r="BP65" s="21">
        <f t="shared" si="14"/>
        <v>1418.4340000000011</v>
      </c>
      <c r="BQ65" s="21">
        <f t="shared" si="15"/>
        <v>88812.615000000005</v>
      </c>
    </row>
    <row r="67" spans="1:69" x14ac:dyDescent="0.25">
      <c r="A67" s="13" t="s">
        <v>186</v>
      </c>
    </row>
    <row r="68" spans="1:69" s="15" customFormat="1" x14ac:dyDescent="0.25">
      <c r="A68" s="23" t="s">
        <v>0</v>
      </c>
      <c r="B68" s="111" t="s">
        <v>1</v>
      </c>
      <c r="C68" s="112"/>
      <c r="D68" s="111" t="s">
        <v>2</v>
      </c>
      <c r="E68" s="112"/>
      <c r="F68" s="111" t="s">
        <v>3</v>
      </c>
      <c r="G68" s="112"/>
      <c r="H68" s="111" t="s">
        <v>4</v>
      </c>
      <c r="I68" s="112"/>
      <c r="J68" s="111" t="s">
        <v>5</v>
      </c>
      <c r="K68" s="112"/>
      <c r="L68" s="111" t="s">
        <v>6</v>
      </c>
      <c r="M68" s="112"/>
      <c r="N68" s="111" t="s">
        <v>7</v>
      </c>
      <c r="O68" s="112"/>
      <c r="P68" s="111" t="s">
        <v>8</v>
      </c>
      <c r="Q68" s="112"/>
      <c r="R68" s="111" t="s">
        <v>9</v>
      </c>
      <c r="S68" s="112"/>
      <c r="T68" s="111" t="s">
        <v>10</v>
      </c>
      <c r="U68" s="112"/>
      <c r="V68" s="111" t="s">
        <v>11</v>
      </c>
      <c r="W68" s="112"/>
      <c r="X68" s="111" t="s">
        <v>12</v>
      </c>
      <c r="Y68" s="112"/>
      <c r="Z68" s="111" t="s">
        <v>13</v>
      </c>
      <c r="AA68" s="112"/>
      <c r="AB68" s="111" t="s">
        <v>14</v>
      </c>
      <c r="AC68" s="112"/>
      <c r="AD68" s="111" t="s">
        <v>15</v>
      </c>
      <c r="AE68" s="112"/>
      <c r="AF68" s="111" t="s">
        <v>16</v>
      </c>
      <c r="AG68" s="112"/>
      <c r="AH68" s="111" t="s">
        <v>17</v>
      </c>
      <c r="AI68" s="112"/>
      <c r="AJ68" s="111" t="s">
        <v>18</v>
      </c>
      <c r="AK68" s="112"/>
      <c r="AL68" s="111" t="s">
        <v>19</v>
      </c>
      <c r="AM68" s="112"/>
      <c r="AN68" s="111" t="s">
        <v>20</v>
      </c>
      <c r="AO68" s="112"/>
      <c r="AP68" s="111" t="s">
        <v>21</v>
      </c>
      <c r="AQ68" s="112"/>
      <c r="AR68" s="111" t="s">
        <v>161</v>
      </c>
      <c r="AS68" s="112"/>
      <c r="AT68" s="111" t="s">
        <v>162</v>
      </c>
      <c r="AU68" s="112"/>
      <c r="AV68" s="111" t="s">
        <v>22</v>
      </c>
      <c r="AW68" s="112"/>
      <c r="AX68" s="111" t="s">
        <v>23</v>
      </c>
      <c r="AY68" s="112"/>
      <c r="AZ68" s="111" t="s">
        <v>24</v>
      </c>
      <c r="BA68" s="112"/>
      <c r="BB68" s="111" t="s">
        <v>25</v>
      </c>
      <c r="BC68" s="112"/>
      <c r="BD68" s="111" t="s">
        <v>26</v>
      </c>
      <c r="BE68" s="112"/>
      <c r="BF68" s="111" t="s">
        <v>27</v>
      </c>
      <c r="BG68" s="112"/>
      <c r="BH68" s="111" t="s">
        <v>28</v>
      </c>
      <c r="BI68" s="112"/>
      <c r="BJ68" s="111" t="s">
        <v>29</v>
      </c>
      <c r="BK68" s="112"/>
      <c r="BL68" s="111" t="s">
        <v>30</v>
      </c>
      <c r="BM68" s="112"/>
      <c r="BN68" s="111" t="s">
        <v>31</v>
      </c>
      <c r="BO68" s="112"/>
      <c r="BP68" s="110" t="s">
        <v>304</v>
      </c>
      <c r="BQ68" s="110"/>
    </row>
    <row r="69" spans="1:69" s="43" customFormat="1" ht="44.25" customHeight="1" x14ac:dyDescent="0.25">
      <c r="A69" s="44"/>
      <c r="B69" s="44" t="s">
        <v>286</v>
      </c>
      <c r="C69" s="44" t="s">
        <v>287</v>
      </c>
      <c r="D69" s="44" t="s">
        <v>286</v>
      </c>
      <c r="E69" s="44" t="s">
        <v>287</v>
      </c>
      <c r="F69" s="44" t="s">
        <v>286</v>
      </c>
      <c r="G69" s="44" t="s">
        <v>287</v>
      </c>
      <c r="H69" s="44" t="s">
        <v>286</v>
      </c>
      <c r="I69" s="44" t="s">
        <v>287</v>
      </c>
      <c r="J69" s="44" t="s">
        <v>286</v>
      </c>
      <c r="K69" s="44" t="s">
        <v>287</v>
      </c>
      <c r="L69" s="44" t="s">
        <v>286</v>
      </c>
      <c r="M69" s="44" t="s">
        <v>287</v>
      </c>
      <c r="N69" s="44" t="s">
        <v>286</v>
      </c>
      <c r="O69" s="44" t="s">
        <v>287</v>
      </c>
      <c r="P69" s="44" t="s">
        <v>286</v>
      </c>
      <c r="Q69" s="44" t="s">
        <v>287</v>
      </c>
      <c r="R69" s="44" t="s">
        <v>286</v>
      </c>
      <c r="S69" s="44" t="s">
        <v>287</v>
      </c>
      <c r="T69" s="44" t="s">
        <v>286</v>
      </c>
      <c r="U69" s="44" t="s">
        <v>287</v>
      </c>
      <c r="V69" s="44" t="s">
        <v>286</v>
      </c>
      <c r="W69" s="44" t="s">
        <v>287</v>
      </c>
      <c r="X69" s="44" t="s">
        <v>286</v>
      </c>
      <c r="Y69" s="44" t="s">
        <v>287</v>
      </c>
      <c r="Z69" s="44" t="s">
        <v>286</v>
      </c>
      <c r="AA69" s="44" t="s">
        <v>287</v>
      </c>
      <c r="AB69" s="44" t="s">
        <v>286</v>
      </c>
      <c r="AC69" s="44" t="s">
        <v>287</v>
      </c>
      <c r="AD69" s="44" t="s">
        <v>286</v>
      </c>
      <c r="AE69" s="44" t="s">
        <v>287</v>
      </c>
      <c r="AF69" s="44" t="s">
        <v>286</v>
      </c>
      <c r="AG69" s="44" t="s">
        <v>287</v>
      </c>
      <c r="AH69" s="44" t="s">
        <v>286</v>
      </c>
      <c r="AI69" s="44" t="s">
        <v>287</v>
      </c>
      <c r="AJ69" s="44" t="s">
        <v>286</v>
      </c>
      <c r="AK69" s="44" t="s">
        <v>287</v>
      </c>
      <c r="AL69" s="44" t="s">
        <v>286</v>
      </c>
      <c r="AM69" s="44" t="s">
        <v>287</v>
      </c>
      <c r="AN69" s="44" t="s">
        <v>286</v>
      </c>
      <c r="AO69" s="44" t="s">
        <v>287</v>
      </c>
      <c r="AP69" s="44" t="s">
        <v>286</v>
      </c>
      <c r="AQ69" s="44" t="s">
        <v>287</v>
      </c>
      <c r="AR69" s="44" t="s">
        <v>286</v>
      </c>
      <c r="AS69" s="44" t="s">
        <v>287</v>
      </c>
      <c r="AT69" s="44" t="s">
        <v>286</v>
      </c>
      <c r="AU69" s="44" t="s">
        <v>287</v>
      </c>
      <c r="AV69" s="44" t="s">
        <v>286</v>
      </c>
      <c r="AW69" s="44" t="s">
        <v>287</v>
      </c>
      <c r="AX69" s="44" t="s">
        <v>286</v>
      </c>
      <c r="AY69" s="44" t="s">
        <v>287</v>
      </c>
      <c r="AZ69" s="44" t="s">
        <v>286</v>
      </c>
      <c r="BA69" s="44" t="s">
        <v>287</v>
      </c>
      <c r="BB69" s="44" t="s">
        <v>286</v>
      </c>
      <c r="BC69" s="44" t="s">
        <v>287</v>
      </c>
      <c r="BD69" s="44" t="s">
        <v>286</v>
      </c>
      <c r="BE69" s="44" t="s">
        <v>287</v>
      </c>
      <c r="BF69" s="44" t="s">
        <v>286</v>
      </c>
      <c r="BG69" s="44" t="s">
        <v>287</v>
      </c>
      <c r="BH69" s="44" t="s">
        <v>286</v>
      </c>
      <c r="BI69" s="44" t="s">
        <v>287</v>
      </c>
      <c r="BJ69" s="44" t="s">
        <v>286</v>
      </c>
      <c r="BK69" s="44" t="s">
        <v>287</v>
      </c>
      <c r="BL69" s="44" t="s">
        <v>286</v>
      </c>
      <c r="BM69" s="44" t="s">
        <v>287</v>
      </c>
      <c r="BN69" s="44" t="s">
        <v>286</v>
      </c>
      <c r="BO69" s="44" t="s">
        <v>287</v>
      </c>
      <c r="BP69" s="44" t="s">
        <v>286</v>
      </c>
      <c r="BQ69" s="44" t="s">
        <v>287</v>
      </c>
    </row>
    <row r="70" spans="1:69" x14ac:dyDescent="0.25">
      <c r="A70" s="21" t="s">
        <v>70</v>
      </c>
      <c r="B70" s="21"/>
      <c r="C70" s="21"/>
      <c r="D70" s="21"/>
      <c r="E70" s="21"/>
      <c r="F70" s="21">
        <v>34967</v>
      </c>
      <c r="G70" s="21">
        <v>65729</v>
      </c>
      <c r="H70" s="21">
        <v>4413</v>
      </c>
      <c r="I70" s="21">
        <v>16500</v>
      </c>
      <c r="J70" s="21">
        <f t="shared" ref="J70:K73" si="16">J78-J46-J38-J30-J22-J14-J6-J54-J62</f>
        <v>215736</v>
      </c>
      <c r="K70" s="21">
        <f t="shared" si="16"/>
        <v>627825</v>
      </c>
      <c r="L70" s="21">
        <f t="shared" ref="L70:BO70" si="17">L78-L46-L38-L30-L22-L14-L6-L54-L62</f>
        <v>3571</v>
      </c>
      <c r="M70" s="21">
        <f t="shared" si="17"/>
        <v>14450</v>
      </c>
      <c r="N70" s="21">
        <f t="shared" si="17"/>
        <v>21827</v>
      </c>
      <c r="O70" s="21">
        <f t="shared" si="17"/>
        <v>36118</v>
      </c>
      <c r="P70" s="21">
        <f t="shared" si="17"/>
        <v>150</v>
      </c>
      <c r="Q70" s="21">
        <f t="shared" si="17"/>
        <v>346</v>
      </c>
      <c r="R70" s="21">
        <f t="shared" si="17"/>
        <v>1</v>
      </c>
      <c r="S70" s="21">
        <f t="shared" si="17"/>
        <v>0</v>
      </c>
      <c r="T70" s="21">
        <f t="shared" si="17"/>
        <v>0</v>
      </c>
      <c r="U70" s="21">
        <f t="shared" si="17"/>
        <v>0</v>
      </c>
      <c r="V70" s="21">
        <f t="shared" si="17"/>
        <v>13446.17</v>
      </c>
      <c r="W70" s="21">
        <f t="shared" si="17"/>
        <v>34947.31</v>
      </c>
      <c r="X70" s="21">
        <f t="shared" si="17"/>
        <v>27101</v>
      </c>
      <c r="Y70" s="21">
        <f t="shared" si="17"/>
        <v>81389</v>
      </c>
      <c r="Z70" s="21">
        <f t="shared" si="17"/>
        <v>-2692</v>
      </c>
      <c r="AA70" s="21">
        <f t="shared" si="17"/>
        <v>-3682</v>
      </c>
      <c r="AB70" s="21">
        <f t="shared" si="17"/>
        <v>52636</v>
      </c>
      <c r="AC70" s="21">
        <f t="shared" si="17"/>
        <v>182496</v>
      </c>
      <c r="AD70" s="21">
        <f t="shared" si="17"/>
        <v>173267</v>
      </c>
      <c r="AE70" s="21">
        <f t="shared" si="17"/>
        <v>570790</v>
      </c>
      <c r="AF70" s="21">
        <f t="shared" si="17"/>
        <v>79613</v>
      </c>
      <c r="AG70" s="21">
        <f t="shared" si="17"/>
        <v>259966</v>
      </c>
      <c r="AH70" s="21">
        <f t="shared" si="17"/>
        <v>5258</v>
      </c>
      <c r="AI70" s="21">
        <f t="shared" si="17"/>
        <v>13354</v>
      </c>
      <c r="AJ70" s="21">
        <f t="shared" si="17"/>
        <v>17616</v>
      </c>
      <c r="AK70" s="21">
        <f t="shared" si="17"/>
        <v>62211</v>
      </c>
      <c r="AL70" s="21">
        <f t="shared" si="17"/>
        <v>915</v>
      </c>
      <c r="AM70" s="21">
        <f t="shared" si="17"/>
        <v>-35327</v>
      </c>
      <c r="AN70" s="21">
        <f t="shared" si="17"/>
        <v>0</v>
      </c>
      <c r="AO70" s="21">
        <f t="shared" si="17"/>
        <v>0</v>
      </c>
      <c r="AP70" s="21">
        <f t="shared" si="17"/>
        <v>-278911.33500000008</v>
      </c>
      <c r="AQ70" s="21">
        <f t="shared" si="17"/>
        <v>363263.0459999984</v>
      </c>
      <c r="AR70" s="21">
        <f t="shared" si="17"/>
        <v>347321</v>
      </c>
      <c r="AS70" s="21">
        <f t="shared" si="17"/>
        <v>1196595</v>
      </c>
      <c r="AT70" s="21">
        <f t="shared" si="17"/>
        <v>204932</v>
      </c>
      <c r="AU70" s="21">
        <f t="shared" si="17"/>
        <v>623375</v>
      </c>
      <c r="AV70" s="21">
        <f t="shared" si="17"/>
        <v>858</v>
      </c>
      <c r="AW70" s="21">
        <f t="shared" si="17"/>
        <v>3209</v>
      </c>
      <c r="AX70" s="21">
        <f t="shared" si="17"/>
        <v>27332</v>
      </c>
      <c r="AY70" s="21">
        <f t="shared" si="17"/>
        <v>51485</v>
      </c>
      <c r="AZ70" s="21">
        <f t="shared" si="17"/>
        <v>11706</v>
      </c>
      <c r="BA70" s="21">
        <f t="shared" si="17"/>
        <v>58889</v>
      </c>
      <c r="BB70" s="21">
        <f t="shared" si="17"/>
        <v>1638</v>
      </c>
      <c r="BC70" s="21">
        <f t="shared" si="17"/>
        <v>5084</v>
      </c>
      <c r="BD70" s="21">
        <f t="shared" si="17"/>
        <v>54475</v>
      </c>
      <c r="BE70" s="21">
        <f t="shared" si="17"/>
        <v>122046</v>
      </c>
      <c r="BF70" s="21">
        <f t="shared" si="17"/>
        <v>3332</v>
      </c>
      <c r="BG70" s="21">
        <f t="shared" si="17"/>
        <v>9227</v>
      </c>
      <c r="BH70" s="21">
        <f t="shared" si="17"/>
        <v>0</v>
      </c>
      <c r="BI70" s="21">
        <f t="shared" si="17"/>
        <v>0</v>
      </c>
      <c r="BJ70" s="21">
        <f t="shared" si="17"/>
        <v>53963</v>
      </c>
      <c r="BK70" s="21">
        <f t="shared" si="17"/>
        <v>162165</v>
      </c>
      <c r="BL70" s="21">
        <f t="shared" si="17"/>
        <v>122595</v>
      </c>
      <c r="BM70" s="21">
        <f t="shared" si="17"/>
        <v>471648</v>
      </c>
      <c r="BN70" s="21">
        <f t="shared" si="17"/>
        <v>20908</v>
      </c>
      <c r="BO70" s="21">
        <f t="shared" si="17"/>
        <v>69510</v>
      </c>
      <c r="BP70" s="21">
        <f t="shared" ref="BP70:BP73" si="18">B70+D70+F70+H70+J70+L70+N70+P70+R70+T70+V70+X70+Z70+AB70+AD70+AF70+AH70+AJ70+AL70+AN70+AP70+AR70+AT70+AV70+AX70+AZ70+BB70+BD70+BF70+BH70+BJ70+BL70+BN70</f>
        <v>1217973.835</v>
      </c>
      <c r="BQ70" s="21">
        <f t="shared" ref="BQ70:BQ73" si="19">C70+E70+G70+I70+K70+M70+O70+Q70+S70+U70+W70+Y70+AA70+AC70+AE70+AG70+AI70+AK70+AM70+AO70+AQ70+AS70+AU70+AW70+AY70+BA70+BC70+BE70+BG70+BI70+BK70+BM70+BO70</f>
        <v>5063608.3559999987</v>
      </c>
    </row>
    <row r="71" spans="1:69" x14ac:dyDescent="0.25">
      <c r="A71" s="21" t="s">
        <v>71</v>
      </c>
      <c r="B71" s="21"/>
      <c r="C71" s="21"/>
      <c r="D71" s="21"/>
      <c r="E71" s="21"/>
      <c r="F71" s="21">
        <v>2650</v>
      </c>
      <c r="G71" s="21">
        <v>13454</v>
      </c>
      <c r="H71" s="21"/>
      <c r="I71" s="21"/>
      <c r="J71" s="21">
        <f t="shared" si="16"/>
        <v>-1</v>
      </c>
      <c r="K71" s="21">
        <f t="shared" si="16"/>
        <v>922</v>
      </c>
      <c r="L71" s="21">
        <f t="shared" ref="L71:BO71" si="20">L79-L47-L39-L31-L23-L15-L7-L55-L63</f>
        <v>1</v>
      </c>
      <c r="M71" s="21">
        <f t="shared" si="20"/>
        <v>2</v>
      </c>
      <c r="N71" s="21">
        <f t="shared" si="20"/>
        <v>0</v>
      </c>
      <c r="O71" s="21">
        <f t="shared" si="20"/>
        <v>0</v>
      </c>
      <c r="P71" s="21">
        <f t="shared" si="20"/>
        <v>0</v>
      </c>
      <c r="Q71" s="21">
        <f t="shared" si="20"/>
        <v>0</v>
      </c>
      <c r="R71" s="21">
        <f t="shared" si="20"/>
        <v>0</v>
      </c>
      <c r="S71" s="21">
        <f t="shared" si="20"/>
        <v>0</v>
      </c>
      <c r="T71" s="21">
        <f t="shared" si="20"/>
        <v>0</v>
      </c>
      <c r="U71" s="21">
        <f t="shared" si="20"/>
        <v>0</v>
      </c>
      <c r="V71" s="21">
        <f t="shared" si="20"/>
        <v>0</v>
      </c>
      <c r="W71" s="21">
        <f t="shared" si="20"/>
        <v>0</v>
      </c>
      <c r="X71" s="21"/>
      <c r="Y71" s="21"/>
      <c r="Z71" s="21">
        <f t="shared" si="20"/>
        <v>549</v>
      </c>
      <c r="AA71" s="21">
        <f t="shared" si="20"/>
        <v>-46241</v>
      </c>
      <c r="AB71" s="21">
        <f t="shared" si="20"/>
        <v>4564</v>
      </c>
      <c r="AC71" s="21">
        <f t="shared" si="20"/>
        <v>16193</v>
      </c>
      <c r="AD71" s="21">
        <f t="shared" si="20"/>
        <v>1397</v>
      </c>
      <c r="AE71" s="21">
        <f t="shared" si="20"/>
        <v>6117</v>
      </c>
      <c r="AF71" s="21">
        <f t="shared" si="20"/>
        <v>1836</v>
      </c>
      <c r="AG71" s="21">
        <f t="shared" si="20"/>
        <v>6239</v>
      </c>
      <c r="AH71" s="21">
        <f t="shared" si="20"/>
        <v>0</v>
      </c>
      <c r="AI71" s="21">
        <f t="shared" si="20"/>
        <v>0</v>
      </c>
      <c r="AJ71" s="21">
        <f t="shared" si="20"/>
        <v>0</v>
      </c>
      <c r="AK71" s="21">
        <f t="shared" si="20"/>
        <v>0</v>
      </c>
      <c r="AL71" s="21">
        <f t="shared" si="20"/>
        <v>87</v>
      </c>
      <c r="AM71" s="21">
        <f t="shared" si="20"/>
        <v>-16394</v>
      </c>
      <c r="AN71" s="21">
        <f t="shared" si="20"/>
        <v>0</v>
      </c>
      <c r="AO71" s="21">
        <f t="shared" si="20"/>
        <v>0</v>
      </c>
      <c r="AP71" s="21">
        <f t="shared" si="20"/>
        <v>7057.0610000000152</v>
      </c>
      <c r="AQ71" s="21">
        <f t="shared" si="20"/>
        <v>16854.730000000021</v>
      </c>
      <c r="AR71" s="21">
        <f t="shared" si="20"/>
        <v>12531</v>
      </c>
      <c r="AS71" s="21">
        <f t="shared" si="20"/>
        <v>36874</v>
      </c>
      <c r="AT71" s="21">
        <f t="shared" si="20"/>
        <v>7132</v>
      </c>
      <c r="AU71" s="21">
        <f t="shared" si="20"/>
        <v>92978</v>
      </c>
      <c r="AV71" s="21">
        <f t="shared" si="20"/>
        <v>0</v>
      </c>
      <c r="AW71" s="21">
        <f t="shared" si="20"/>
        <v>-1</v>
      </c>
      <c r="AX71" s="21">
        <f t="shared" si="20"/>
        <v>29</v>
      </c>
      <c r="AY71" s="21">
        <f t="shared" si="20"/>
        <v>28</v>
      </c>
      <c r="AZ71" s="21">
        <f t="shared" si="20"/>
        <v>0</v>
      </c>
      <c r="BA71" s="21">
        <f t="shared" si="20"/>
        <v>0</v>
      </c>
      <c r="BB71" s="21">
        <f t="shared" si="20"/>
        <v>0</v>
      </c>
      <c r="BC71" s="21">
        <f t="shared" si="20"/>
        <v>0</v>
      </c>
      <c r="BD71" s="21">
        <f t="shared" si="20"/>
        <v>0</v>
      </c>
      <c r="BE71" s="21">
        <f t="shared" si="20"/>
        <v>0</v>
      </c>
      <c r="BF71" s="21">
        <f t="shared" si="20"/>
        <v>0</v>
      </c>
      <c r="BG71" s="21">
        <f t="shared" si="20"/>
        <v>0</v>
      </c>
      <c r="BH71" s="21">
        <f t="shared" si="20"/>
        <v>0</v>
      </c>
      <c r="BI71" s="21">
        <f t="shared" si="20"/>
        <v>0</v>
      </c>
      <c r="BJ71" s="21">
        <f t="shared" si="20"/>
        <v>0</v>
      </c>
      <c r="BK71" s="21">
        <f t="shared" si="20"/>
        <v>4</v>
      </c>
      <c r="BL71" s="21">
        <f t="shared" si="20"/>
        <v>7554</v>
      </c>
      <c r="BM71" s="21">
        <f t="shared" si="20"/>
        <v>12034</v>
      </c>
      <c r="BN71" s="21">
        <f t="shared" si="20"/>
        <v>0</v>
      </c>
      <c r="BO71" s="21">
        <f t="shared" si="20"/>
        <v>0</v>
      </c>
      <c r="BP71" s="21">
        <f t="shared" si="18"/>
        <v>45386.061000000016</v>
      </c>
      <c r="BQ71" s="21">
        <f t="shared" si="19"/>
        <v>139063.73000000004</v>
      </c>
    </row>
    <row r="72" spans="1:69" x14ac:dyDescent="0.25">
      <c r="A72" s="21" t="s">
        <v>72</v>
      </c>
      <c r="B72" s="21"/>
      <c r="C72" s="21"/>
      <c r="D72" s="21"/>
      <c r="E72" s="21"/>
      <c r="F72" s="21">
        <v>-347586</v>
      </c>
      <c r="G72" s="21">
        <v>1820799</v>
      </c>
      <c r="H72" s="21">
        <v>412</v>
      </c>
      <c r="I72" s="21">
        <v>26232</v>
      </c>
      <c r="J72" s="21">
        <f t="shared" si="16"/>
        <v>373847</v>
      </c>
      <c r="K72" s="21">
        <f t="shared" si="16"/>
        <v>935909</v>
      </c>
      <c r="L72" s="21">
        <f t="shared" ref="L72:BO72" si="21">L80-L48-L40-L32-L24-L16-L8-L56-L64</f>
        <v>116039</v>
      </c>
      <c r="M72" s="21">
        <f t="shared" si="21"/>
        <v>245465</v>
      </c>
      <c r="N72" s="21">
        <f t="shared" si="21"/>
        <v>41521</v>
      </c>
      <c r="O72" s="21">
        <f t="shared" si="21"/>
        <v>133089</v>
      </c>
      <c r="P72" s="21">
        <f t="shared" si="21"/>
        <v>15</v>
      </c>
      <c r="Q72" s="21">
        <f t="shared" si="21"/>
        <v>35</v>
      </c>
      <c r="R72" s="21">
        <f t="shared" si="21"/>
        <v>-8</v>
      </c>
      <c r="S72" s="21">
        <f t="shared" si="21"/>
        <v>-8</v>
      </c>
      <c r="T72" s="21">
        <f t="shared" si="21"/>
        <v>0</v>
      </c>
      <c r="U72" s="21">
        <f t="shared" si="21"/>
        <v>0</v>
      </c>
      <c r="V72" s="21">
        <f t="shared" si="21"/>
        <v>142433.71</v>
      </c>
      <c r="W72" s="21">
        <f t="shared" si="21"/>
        <v>393530.5</v>
      </c>
      <c r="X72" s="21">
        <f t="shared" si="21"/>
        <v>76096</v>
      </c>
      <c r="Y72" s="21">
        <f t="shared" si="21"/>
        <v>172516</v>
      </c>
      <c r="Z72" s="21">
        <f t="shared" si="21"/>
        <v>-21925</v>
      </c>
      <c r="AA72" s="21">
        <f t="shared" si="21"/>
        <v>-84266</v>
      </c>
      <c r="AB72" s="21">
        <f t="shared" si="21"/>
        <v>-246463</v>
      </c>
      <c r="AC72" s="21">
        <f t="shared" si="21"/>
        <v>-1222144</v>
      </c>
      <c r="AD72" s="21">
        <f t="shared" si="21"/>
        <v>182817</v>
      </c>
      <c r="AE72" s="21">
        <f t="shared" si="21"/>
        <v>884820</v>
      </c>
      <c r="AF72" s="21">
        <f t="shared" si="21"/>
        <v>183522</v>
      </c>
      <c r="AG72" s="21">
        <f t="shared" si="21"/>
        <v>660425</v>
      </c>
      <c r="AH72" s="21">
        <f t="shared" si="21"/>
        <v>862</v>
      </c>
      <c r="AI72" s="21">
        <f t="shared" si="21"/>
        <v>1738</v>
      </c>
      <c r="AJ72" s="21">
        <f t="shared" si="21"/>
        <v>2518</v>
      </c>
      <c r="AK72" s="21">
        <f t="shared" si="21"/>
        <v>11289</v>
      </c>
      <c r="AL72" s="21">
        <f t="shared" si="21"/>
        <v>-1811</v>
      </c>
      <c r="AM72" s="21">
        <f t="shared" si="21"/>
        <v>92090</v>
      </c>
      <c r="AN72" s="21">
        <f t="shared" si="21"/>
        <v>0</v>
      </c>
      <c r="AO72" s="21">
        <f t="shared" si="21"/>
        <v>0</v>
      </c>
      <c r="AP72" s="21">
        <f t="shared" si="21"/>
        <v>35131.235000000088</v>
      </c>
      <c r="AQ72" s="21">
        <f t="shared" si="21"/>
        <v>182271.59099999987</v>
      </c>
      <c r="AR72" s="21">
        <f t="shared" si="21"/>
        <v>185142</v>
      </c>
      <c r="AS72" s="21">
        <f t="shared" si="21"/>
        <v>382679</v>
      </c>
      <c r="AT72" s="21">
        <f t="shared" si="21"/>
        <v>366373</v>
      </c>
      <c r="AU72" s="21">
        <f t="shared" si="21"/>
        <v>1062249</v>
      </c>
      <c r="AV72" s="21">
        <f t="shared" si="21"/>
        <v>1159</v>
      </c>
      <c r="AW72" s="21">
        <f t="shared" si="21"/>
        <v>3572</v>
      </c>
      <c r="AX72" s="21">
        <f t="shared" si="21"/>
        <v>106106</v>
      </c>
      <c r="AY72" s="21">
        <f t="shared" si="21"/>
        <v>833949</v>
      </c>
      <c r="AZ72" s="21">
        <f t="shared" si="21"/>
        <v>24130</v>
      </c>
      <c r="BA72" s="21">
        <f t="shared" si="21"/>
        <v>103587</v>
      </c>
      <c r="BB72" s="21">
        <f t="shared" si="21"/>
        <v>-27730</v>
      </c>
      <c r="BC72" s="21">
        <f t="shared" si="21"/>
        <v>-139911</v>
      </c>
      <c r="BD72" s="21">
        <f t="shared" si="21"/>
        <v>165831</v>
      </c>
      <c r="BE72" s="21">
        <f t="shared" si="21"/>
        <v>819976</v>
      </c>
      <c r="BF72" s="21">
        <f t="shared" si="21"/>
        <v>861</v>
      </c>
      <c r="BG72" s="21">
        <f t="shared" si="21"/>
        <v>4212</v>
      </c>
      <c r="BH72" s="21">
        <f t="shared" si="21"/>
        <v>0</v>
      </c>
      <c r="BI72" s="21">
        <f t="shared" si="21"/>
        <v>0</v>
      </c>
      <c r="BJ72" s="21">
        <f t="shared" si="21"/>
        <v>158413</v>
      </c>
      <c r="BK72" s="21">
        <f t="shared" si="21"/>
        <v>240968</v>
      </c>
      <c r="BL72" s="21">
        <f t="shared" si="21"/>
        <v>158858</v>
      </c>
      <c r="BM72" s="21">
        <f t="shared" si="21"/>
        <v>197367</v>
      </c>
      <c r="BN72" s="21">
        <f t="shared" si="21"/>
        <v>228209</v>
      </c>
      <c r="BO72" s="21">
        <f t="shared" si="21"/>
        <v>227478</v>
      </c>
      <c r="BP72" s="21">
        <f t="shared" si="18"/>
        <v>1904772.9450000001</v>
      </c>
      <c r="BQ72" s="21">
        <f t="shared" si="19"/>
        <v>7989917.091</v>
      </c>
    </row>
    <row r="73" spans="1:69" x14ac:dyDescent="0.25">
      <c r="A73" s="21" t="s">
        <v>73</v>
      </c>
      <c r="B73" s="21"/>
      <c r="C73" s="21"/>
      <c r="D73" s="21"/>
      <c r="E73" s="21"/>
      <c r="F73" s="21">
        <v>385203</v>
      </c>
      <c r="G73" s="21">
        <v>-1741616</v>
      </c>
      <c r="H73" s="21">
        <v>4001</v>
      </c>
      <c r="I73" s="21">
        <v>-9732</v>
      </c>
      <c r="J73" s="21">
        <f t="shared" si="16"/>
        <v>-158112</v>
      </c>
      <c r="K73" s="21">
        <f t="shared" si="16"/>
        <v>-307162</v>
      </c>
      <c r="L73" s="21">
        <f t="shared" ref="L73:BO73" si="22">L81-L49-L41-L33-L25-L17-L9-L57-L65</f>
        <v>-112466</v>
      </c>
      <c r="M73" s="21">
        <f t="shared" si="22"/>
        <v>-231013</v>
      </c>
      <c r="N73" s="21">
        <f t="shared" si="22"/>
        <v>-19694</v>
      </c>
      <c r="O73" s="21">
        <f t="shared" si="22"/>
        <v>-96971</v>
      </c>
      <c r="P73" s="21">
        <f t="shared" si="22"/>
        <v>135</v>
      </c>
      <c r="Q73" s="21">
        <f t="shared" si="22"/>
        <v>311</v>
      </c>
      <c r="R73" s="21">
        <f t="shared" si="22"/>
        <v>-8</v>
      </c>
      <c r="S73" s="21">
        <f t="shared" si="22"/>
        <v>-8</v>
      </c>
      <c r="T73" s="21">
        <f t="shared" si="22"/>
        <v>0</v>
      </c>
      <c r="U73" s="21">
        <f t="shared" si="22"/>
        <v>0</v>
      </c>
      <c r="V73" s="21">
        <f t="shared" si="22"/>
        <v>-128987.54</v>
      </c>
      <c r="W73" s="21">
        <f t="shared" si="22"/>
        <v>-358583.19</v>
      </c>
      <c r="X73" s="21">
        <f t="shared" si="22"/>
        <v>-48995</v>
      </c>
      <c r="Y73" s="21">
        <f t="shared" si="22"/>
        <v>-91127</v>
      </c>
      <c r="Z73" s="21">
        <f t="shared" si="22"/>
        <v>19781</v>
      </c>
      <c r="AA73" s="21">
        <f t="shared" si="22"/>
        <v>34342</v>
      </c>
      <c r="AB73" s="21">
        <f t="shared" si="22"/>
        <v>-189262</v>
      </c>
      <c r="AC73" s="21">
        <f t="shared" si="22"/>
        <v>-977485</v>
      </c>
      <c r="AD73" s="21">
        <f t="shared" si="22"/>
        <v>-8153</v>
      </c>
      <c r="AE73" s="21">
        <f t="shared" si="22"/>
        <v>-307913</v>
      </c>
      <c r="AF73" s="21">
        <f t="shared" si="22"/>
        <v>-102073</v>
      </c>
      <c r="AG73" s="21">
        <f t="shared" si="22"/>
        <v>-394220</v>
      </c>
      <c r="AH73" s="21">
        <f t="shared" si="22"/>
        <v>4396</v>
      </c>
      <c r="AI73" s="21">
        <f t="shared" si="22"/>
        <v>11616</v>
      </c>
      <c r="AJ73" s="21">
        <f t="shared" si="22"/>
        <v>15097</v>
      </c>
      <c r="AK73" s="21">
        <f t="shared" si="22"/>
        <v>50922</v>
      </c>
      <c r="AL73" s="21">
        <f t="shared" si="22"/>
        <v>-809</v>
      </c>
      <c r="AM73" s="21">
        <f t="shared" si="22"/>
        <v>40369</v>
      </c>
      <c r="AN73" s="21">
        <f t="shared" si="22"/>
        <v>0</v>
      </c>
      <c r="AO73" s="21">
        <f t="shared" si="22"/>
        <v>0</v>
      </c>
      <c r="AP73" s="21">
        <f t="shared" si="22"/>
        <v>-306985.71700000018</v>
      </c>
      <c r="AQ73" s="21">
        <f t="shared" si="22"/>
        <v>197845.18499999947</v>
      </c>
      <c r="AR73" s="21">
        <f t="shared" si="22"/>
        <v>174713</v>
      </c>
      <c r="AS73" s="21">
        <f t="shared" si="22"/>
        <v>850790</v>
      </c>
      <c r="AT73" s="21">
        <f t="shared" si="22"/>
        <v>-154309</v>
      </c>
      <c r="AU73" s="21">
        <f t="shared" si="22"/>
        <v>-345896</v>
      </c>
      <c r="AV73" s="21">
        <f t="shared" si="22"/>
        <v>-300</v>
      </c>
      <c r="AW73" s="21">
        <f t="shared" si="22"/>
        <v>-363</v>
      </c>
      <c r="AX73" s="21">
        <f t="shared" si="22"/>
        <v>-80871</v>
      </c>
      <c r="AY73" s="21">
        <f t="shared" si="22"/>
        <v>-782436</v>
      </c>
      <c r="AZ73" s="21">
        <f t="shared" si="22"/>
        <v>-12426</v>
      </c>
      <c r="BA73" s="21">
        <f t="shared" si="22"/>
        <v>-44698</v>
      </c>
      <c r="BB73" s="21">
        <f t="shared" si="22"/>
        <v>-26092</v>
      </c>
      <c r="BC73" s="21">
        <f t="shared" si="22"/>
        <v>-134827</v>
      </c>
      <c r="BD73" s="21">
        <f t="shared" si="22"/>
        <v>-111356</v>
      </c>
      <c r="BE73" s="21">
        <f t="shared" si="22"/>
        <v>-697930</v>
      </c>
      <c r="BF73" s="21">
        <f t="shared" si="22"/>
        <v>2471</v>
      </c>
      <c r="BG73" s="21">
        <f t="shared" si="22"/>
        <v>5016</v>
      </c>
      <c r="BH73" s="21">
        <f t="shared" si="22"/>
        <v>0</v>
      </c>
      <c r="BI73" s="21">
        <f t="shared" si="22"/>
        <v>0</v>
      </c>
      <c r="BJ73" s="21">
        <f t="shared" si="22"/>
        <v>-104450</v>
      </c>
      <c r="BK73" s="21">
        <f t="shared" si="22"/>
        <v>-78799</v>
      </c>
      <c r="BL73" s="21">
        <f t="shared" si="22"/>
        <v>-28709</v>
      </c>
      <c r="BM73" s="21">
        <f t="shared" si="22"/>
        <v>286315</v>
      </c>
      <c r="BN73" s="21">
        <f t="shared" si="22"/>
        <v>-207301</v>
      </c>
      <c r="BO73" s="21">
        <f t="shared" si="22"/>
        <v>-157968</v>
      </c>
      <c r="BP73" s="21">
        <f t="shared" si="18"/>
        <v>-1195562.2570000002</v>
      </c>
      <c r="BQ73" s="21">
        <f t="shared" si="19"/>
        <v>-5281221.0049999999</v>
      </c>
    </row>
    <row r="75" spans="1:69" x14ac:dyDescent="0.25">
      <c r="A75" s="13" t="s">
        <v>61</v>
      </c>
    </row>
    <row r="76" spans="1:69" s="15" customFormat="1" x14ac:dyDescent="0.25">
      <c r="A76" s="23" t="s">
        <v>0</v>
      </c>
      <c r="B76" s="111" t="s">
        <v>1</v>
      </c>
      <c r="C76" s="112"/>
      <c r="D76" s="111" t="s">
        <v>2</v>
      </c>
      <c r="E76" s="112"/>
      <c r="F76" s="111" t="s">
        <v>3</v>
      </c>
      <c r="G76" s="112"/>
      <c r="H76" s="111" t="s">
        <v>4</v>
      </c>
      <c r="I76" s="112"/>
      <c r="J76" s="111" t="s">
        <v>5</v>
      </c>
      <c r="K76" s="112"/>
      <c r="L76" s="111" t="s">
        <v>6</v>
      </c>
      <c r="M76" s="112"/>
      <c r="N76" s="111" t="s">
        <v>7</v>
      </c>
      <c r="O76" s="112"/>
      <c r="P76" s="111" t="s">
        <v>8</v>
      </c>
      <c r="Q76" s="112"/>
      <c r="R76" s="111" t="s">
        <v>9</v>
      </c>
      <c r="S76" s="112"/>
      <c r="T76" s="111" t="s">
        <v>10</v>
      </c>
      <c r="U76" s="112"/>
      <c r="V76" s="111" t="s">
        <v>11</v>
      </c>
      <c r="W76" s="112"/>
      <c r="X76" s="111" t="s">
        <v>12</v>
      </c>
      <c r="Y76" s="112"/>
      <c r="Z76" s="111" t="s">
        <v>13</v>
      </c>
      <c r="AA76" s="112"/>
      <c r="AB76" s="111" t="s">
        <v>14</v>
      </c>
      <c r="AC76" s="112"/>
      <c r="AD76" s="111" t="s">
        <v>15</v>
      </c>
      <c r="AE76" s="112"/>
      <c r="AF76" s="111" t="s">
        <v>16</v>
      </c>
      <c r="AG76" s="112"/>
      <c r="AH76" s="111" t="s">
        <v>17</v>
      </c>
      <c r="AI76" s="112"/>
      <c r="AJ76" s="111" t="s">
        <v>18</v>
      </c>
      <c r="AK76" s="112"/>
      <c r="AL76" s="111" t="s">
        <v>19</v>
      </c>
      <c r="AM76" s="112"/>
      <c r="AN76" s="111" t="s">
        <v>20</v>
      </c>
      <c r="AO76" s="112"/>
      <c r="AP76" s="111" t="s">
        <v>21</v>
      </c>
      <c r="AQ76" s="112"/>
      <c r="AR76" s="111" t="s">
        <v>161</v>
      </c>
      <c r="AS76" s="112"/>
      <c r="AT76" s="111" t="s">
        <v>162</v>
      </c>
      <c r="AU76" s="112"/>
      <c r="AV76" s="111" t="s">
        <v>22</v>
      </c>
      <c r="AW76" s="112"/>
      <c r="AX76" s="111" t="s">
        <v>23</v>
      </c>
      <c r="AY76" s="112"/>
      <c r="AZ76" s="111" t="s">
        <v>24</v>
      </c>
      <c r="BA76" s="112"/>
      <c r="BB76" s="111" t="s">
        <v>25</v>
      </c>
      <c r="BC76" s="112"/>
      <c r="BD76" s="111" t="s">
        <v>26</v>
      </c>
      <c r="BE76" s="112"/>
      <c r="BF76" s="111" t="s">
        <v>27</v>
      </c>
      <c r="BG76" s="112"/>
      <c r="BH76" s="111" t="s">
        <v>28</v>
      </c>
      <c r="BI76" s="112"/>
      <c r="BJ76" s="111" t="s">
        <v>29</v>
      </c>
      <c r="BK76" s="112"/>
      <c r="BL76" s="111" t="s">
        <v>30</v>
      </c>
      <c r="BM76" s="112"/>
      <c r="BN76" s="111" t="s">
        <v>31</v>
      </c>
      <c r="BO76" s="112"/>
      <c r="BP76" s="110" t="s">
        <v>304</v>
      </c>
      <c r="BQ76" s="110"/>
    </row>
    <row r="77" spans="1:69" s="43" customFormat="1" ht="44.25" customHeight="1" x14ac:dyDescent="0.25">
      <c r="A77" s="44"/>
      <c r="B77" s="44" t="s">
        <v>286</v>
      </c>
      <c r="C77" s="44" t="s">
        <v>287</v>
      </c>
      <c r="D77" s="44" t="s">
        <v>286</v>
      </c>
      <c r="E77" s="44" t="s">
        <v>287</v>
      </c>
      <c r="F77" s="44" t="s">
        <v>286</v>
      </c>
      <c r="G77" s="44" t="s">
        <v>287</v>
      </c>
      <c r="H77" s="44" t="s">
        <v>286</v>
      </c>
      <c r="I77" s="44" t="s">
        <v>287</v>
      </c>
      <c r="J77" s="44" t="s">
        <v>286</v>
      </c>
      <c r="K77" s="44" t="s">
        <v>287</v>
      </c>
      <c r="L77" s="44" t="s">
        <v>286</v>
      </c>
      <c r="M77" s="44" t="s">
        <v>287</v>
      </c>
      <c r="N77" s="44" t="s">
        <v>286</v>
      </c>
      <c r="O77" s="44" t="s">
        <v>287</v>
      </c>
      <c r="P77" s="44" t="s">
        <v>286</v>
      </c>
      <c r="Q77" s="44" t="s">
        <v>287</v>
      </c>
      <c r="R77" s="44" t="s">
        <v>286</v>
      </c>
      <c r="S77" s="44" t="s">
        <v>287</v>
      </c>
      <c r="T77" s="44" t="s">
        <v>286</v>
      </c>
      <c r="U77" s="44" t="s">
        <v>287</v>
      </c>
      <c r="V77" s="44" t="s">
        <v>286</v>
      </c>
      <c r="W77" s="44" t="s">
        <v>287</v>
      </c>
      <c r="X77" s="44" t="s">
        <v>286</v>
      </c>
      <c r="Y77" s="44" t="s">
        <v>287</v>
      </c>
      <c r="Z77" s="44" t="s">
        <v>286</v>
      </c>
      <c r="AA77" s="44" t="s">
        <v>287</v>
      </c>
      <c r="AB77" s="44" t="s">
        <v>286</v>
      </c>
      <c r="AC77" s="44" t="s">
        <v>287</v>
      </c>
      <c r="AD77" s="44" t="s">
        <v>286</v>
      </c>
      <c r="AE77" s="44" t="s">
        <v>287</v>
      </c>
      <c r="AF77" s="44" t="s">
        <v>286</v>
      </c>
      <c r="AG77" s="44" t="s">
        <v>287</v>
      </c>
      <c r="AH77" s="44" t="s">
        <v>286</v>
      </c>
      <c r="AI77" s="44" t="s">
        <v>287</v>
      </c>
      <c r="AJ77" s="44" t="s">
        <v>286</v>
      </c>
      <c r="AK77" s="44" t="s">
        <v>287</v>
      </c>
      <c r="AL77" s="44" t="s">
        <v>286</v>
      </c>
      <c r="AM77" s="44" t="s">
        <v>287</v>
      </c>
      <c r="AN77" s="44" t="s">
        <v>286</v>
      </c>
      <c r="AO77" s="44" t="s">
        <v>287</v>
      </c>
      <c r="AP77" s="44" t="s">
        <v>286</v>
      </c>
      <c r="AQ77" s="44" t="s">
        <v>287</v>
      </c>
      <c r="AR77" s="44" t="s">
        <v>286</v>
      </c>
      <c r="AS77" s="44" t="s">
        <v>287</v>
      </c>
      <c r="AT77" s="44" t="s">
        <v>286</v>
      </c>
      <c r="AU77" s="44" t="s">
        <v>287</v>
      </c>
      <c r="AV77" s="44" t="s">
        <v>286</v>
      </c>
      <c r="AW77" s="44" t="s">
        <v>287</v>
      </c>
      <c r="AX77" s="44" t="s">
        <v>286</v>
      </c>
      <c r="AY77" s="44" t="s">
        <v>287</v>
      </c>
      <c r="AZ77" s="44" t="s">
        <v>286</v>
      </c>
      <c r="BA77" s="44" t="s">
        <v>287</v>
      </c>
      <c r="BB77" s="44" t="s">
        <v>286</v>
      </c>
      <c r="BC77" s="44" t="s">
        <v>287</v>
      </c>
      <c r="BD77" s="44" t="s">
        <v>286</v>
      </c>
      <c r="BE77" s="44" t="s">
        <v>287</v>
      </c>
      <c r="BF77" s="44" t="s">
        <v>286</v>
      </c>
      <c r="BG77" s="44" t="s">
        <v>287</v>
      </c>
      <c r="BH77" s="44" t="s">
        <v>286</v>
      </c>
      <c r="BI77" s="44" t="s">
        <v>287</v>
      </c>
      <c r="BJ77" s="44" t="s">
        <v>286</v>
      </c>
      <c r="BK77" s="44" t="s">
        <v>287</v>
      </c>
      <c r="BL77" s="44" t="s">
        <v>286</v>
      </c>
      <c r="BM77" s="44" t="s">
        <v>287</v>
      </c>
      <c r="BN77" s="44" t="s">
        <v>286</v>
      </c>
      <c r="BO77" s="44" t="s">
        <v>287</v>
      </c>
      <c r="BP77" s="44" t="s">
        <v>286</v>
      </c>
      <c r="BQ77" s="44" t="s">
        <v>287</v>
      </c>
    </row>
    <row r="78" spans="1:69" x14ac:dyDescent="0.25">
      <c r="A78" s="21" t="s">
        <v>70</v>
      </c>
      <c r="B78" s="21">
        <v>5093</v>
      </c>
      <c r="C78" s="21">
        <v>5589</v>
      </c>
      <c r="D78" s="21">
        <v>143826</v>
      </c>
      <c r="E78" s="21">
        <v>318745</v>
      </c>
      <c r="F78" s="21">
        <v>34967</v>
      </c>
      <c r="G78" s="21">
        <v>65729</v>
      </c>
      <c r="H78" s="21">
        <v>600971</v>
      </c>
      <c r="I78" s="21">
        <v>1509869</v>
      </c>
      <c r="J78" s="21">
        <v>2212669</v>
      </c>
      <c r="K78" s="21">
        <v>6201819</v>
      </c>
      <c r="L78" s="21">
        <v>424462</v>
      </c>
      <c r="M78" s="21">
        <v>1256160</v>
      </c>
      <c r="N78" s="21">
        <v>652751</v>
      </c>
      <c r="O78" s="21">
        <v>1815110</v>
      </c>
      <c r="P78" s="21">
        <v>123433</v>
      </c>
      <c r="Q78" s="21">
        <v>402442</v>
      </c>
      <c r="R78" s="21">
        <v>3775</v>
      </c>
      <c r="S78" s="21">
        <v>300025</v>
      </c>
      <c r="T78" s="21">
        <v>9379</v>
      </c>
      <c r="U78" s="21">
        <v>10234</v>
      </c>
      <c r="V78" s="21">
        <v>13446.17</v>
      </c>
      <c r="W78" s="21">
        <v>34947.31</v>
      </c>
      <c r="X78" s="21">
        <v>395499</v>
      </c>
      <c r="Y78" s="21">
        <v>1045253</v>
      </c>
      <c r="Z78" s="21">
        <v>72961</v>
      </c>
      <c r="AA78" s="21">
        <v>173298</v>
      </c>
      <c r="AB78" s="21">
        <v>1780572</v>
      </c>
      <c r="AC78" s="21">
        <v>4789380</v>
      </c>
      <c r="AD78" s="21">
        <v>3094205</v>
      </c>
      <c r="AE78" s="21">
        <v>8130153</v>
      </c>
      <c r="AF78" s="21">
        <v>1164782</v>
      </c>
      <c r="AG78" s="21">
        <v>3487392</v>
      </c>
      <c r="AH78" s="21">
        <v>73662</v>
      </c>
      <c r="AI78" s="21">
        <v>188315</v>
      </c>
      <c r="AJ78" s="21">
        <v>291417</v>
      </c>
      <c r="AK78" s="21">
        <v>865510</v>
      </c>
      <c r="AL78" s="21">
        <v>156822</v>
      </c>
      <c r="AM78" s="21">
        <v>355781</v>
      </c>
      <c r="AN78" s="21">
        <v>253891</v>
      </c>
      <c r="AO78" s="21">
        <v>693514</v>
      </c>
      <c r="AP78" s="21">
        <v>2591194.8060000003</v>
      </c>
      <c r="AQ78" s="21">
        <v>7232461.868999999</v>
      </c>
      <c r="AR78" s="21">
        <v>5447407</v>
      </c>
      <c r="AS78" s="21">
        <v>16395381</v>
      </c>
      <c r="AT78" s="21">
        <v>1976377</v>
      </c>
      <c r="AU78" s="21">
        <v>5892074</v>
      </c>
      <c r="AV78" s="21">
        <v>15940</v>
      </c>
      <c r="AW78" s="21">
        <v>50757</v>
      </c>
      <c r="AX78" s="21">
        <v>930543</v>
      </c>
      <c r="AY78" s="21">
        <v>2882342</v>
      </c>
      <c r="AZ78" s="21">
        <v>476645</v>
      </c>
      <c r="BA78" s="21">
        <v>1401736</v>
      </c>
      <c r="BB78" s="21">
        <v>561800</v>
      </c>
      <c r="BC78" s="21">
        <v>1875671</v>
      </c>
      <c r="BD78" s="21">
        <v>924467</v>
      </c>
      <c r="BE78" s="21">
        <v>2592483</v>
      </c>
      <c r="BF78" s="21">
        <v>239654</v>
      </c>
      <c r="BG78" s="21">
        <v>668825</v>
      </c>
      <c r="BH78" s="21">
        <v>1680059</v>
      </c>
      <c r="BI78" s="21">
        <v>4494550</v>
      </c>
      <c r="BJ78" s="21">
        <v>1608791</v>
      </c>
      <c r="BK78" s="21">
        <v>4873585</v>
      </c>
      <c r="BL78" s="21">
        <v>2009512</v>
      </c>
      <c r="BM78" s="21">
        <v>5740764</v>
      </c>
      <c r="BN78" s="21">
        <v>292621</v>
      </c>
      <c r="BO78" s="21">
        <v>776045</v>
      </c>
      <c r="BP78" s="21">
        <f t="shared" ref="BP78:BP81" si="23">B78+D78+F78+H78+J78+L78+N78+P78+R78+T78+V78+X78+Z78+AB78+AD78+AF78+AH78+AJ78+AL78+AN78+AP78+AR78+AT78+AV78+AX78+AZ78+BB78+BD78+BF78+BH78+BJ78+BL78+BN78</f>
        <v>30263593.976</v>
      </c>
      <c r="BQ78" s="21">
        <f t="shared" ref="BQ78:BQ81" si="24">C78+E78+G78+I78+K78+M78+O78+Q78+S78+U78+W78+Y78+AA78+AC78+AE78+AG78+AI78+AK78+AM78+AO78+AQ78+AS78+AU78+AW78+AY78+BA78+BC78+BE78+BG78+BI78+BK78+BM78+BO78</f>
        <v>86525940.179000005</v>
      </c>
    </row>
    <row r="79" spans="1:69" x14ac:dyDescent="0.25">
      <c r="A79" s="21" t="s">
        <v>71</v>
      </c>
      <c r="B79" s="21"/>
      <c r="C79" s="21"/>
      <c r="D79" s="21"/>
      <c r="E79" s="21"/>
      <c r="F79" s="21">
        <v>2650</v>
      </c>
      <c r="G79" s="21">
        <v>13454</v>
      </c>
      <c r="H79" s="21"/>
      <c r="I79" s="21"/>
      <c r="J79" s="21">
        <v>8912</v>
      </c>
      <c r="K79" s="21">
        <v>23001</v>
      </c>
      <c r="L79" s="21">
        <v>2452</v>
      </c>
      <c r="M79" s="21">
        <v>14272</v>
      </c>
      <c r="N79" s="21">
        <v>299</v>
      </c>
      <c r="O79" s="21">
        <v>1270</v>
      </c>
      <c r="P79" s="21"/>
      <c r="Q79" s="21"/>
      <c r="R79" s="21">
        <v>139</v>
      </c>
      <c r="S79" s="21">
        <v>359</v>
      </c>
      <c r="T79" s="21">
        <v>1583</v>
      </c>
      <c r="U79" s="21">
        <v>10409</v>
      </c>
      <c r="V79" s="21"/>
      <c r="W79" s="21"/>
      <c r="X79" s="21">
        <v>1705</v>
      </c>
      <c r="Y79" s="21">
        <v>1864</v>
      </c>
      <c r="Z79" s="21">
        <v>16959</v>
      </c>
      <c r="AA79" s="21">
        <v>20959</v>
      </c>
      <c r="AB79" s="21">
        <v>24505</v>
      </c>
      <c r="AC79" s="21">
        <v>57965</v>
      </c>
      <c r="AD79" s="21">
        <v>42015</v>
      </c>
      <c r="AE79" s="21">
        <v>202138</v>
      </c>
      <c r="AF79" s="21">
        <v>3071</v>
      </c>
      <c r="AG79" s="21">
        <v>20605</v>
      </c>
      <c r="AH79" s="21">
        <v>77</v>
      </c>
      <c r="AI79" s="21">
        <v>324</v>
      </c>
      <c r="AJ79" s="21">
        <v>159</v>
      </c>
      <c r="AK79" s="21">
        <v>639</v>
      </c>
      <c r="AL79" s="21">
        <v>5338</v>
      </c>
      <c r="AM79" s="21">
        <v>7106</v>
      </c>
      <c r="AN79" s="21"/>
      <c r="AO79" s="21"/>
      <c r="AP79" s="21">
        <v>94032.260999999999</v>
      </c>
      <c r="AQ79" s="21">
        <v>186555.75200000001</v>
      </c>
      <c r="AR79" s="21">
        <v>530362</v>
      </c>
      <c r="AS79" s="21">
        <v>1365588</v>
      </c>
      <c r="AT79" s="21">
        <v>127793</v>
      </c>
      <c r="AU79" s="21">
        <v>519821</v>
      </c>
      <c r="AV79" s="21">
        <v>5475</v>
      </c>
      <c r="AW79" s="21">
        <v>19354</v>
      </c>
      <c r="AX79" s="21">
        <v>4106</v>
      </c>
      <c r="AY79" s="21">
        <v>16373</v>
      </c>
      <c r="AZ79" s="21">
        <v>753</v>
      </c>
      <c r="BA79" s="21">
        <v>20430</v>
      </c>
      <c r="BB79" s="21">
        <v>2868</v>
      </c>
      <c r="BC79" s="21">
        <v>14670</v>
      </c>
      <c r="BD79" s="21">
        <v>1240</v>
      </c>
      <c r="BE79" s="21">
        <v>4716</v>
      </c>
      <c r="BF79" s="21">
        <v>2330</v>
      </c>
      <c r="BG79" s="21">
        <v>5843</v>
      </c>
      <c r="BH79" s="21"/>
      <c r="BI79" s="21"/>
      <c r="BJ79" s="21">
        <v>22761</v>
      </c>
      <c r="BK79" s="21">
        <v>90952</v>
      </c>
      <c r="BL79" s="21">
        <v>111752</v>
      </c>
      <c r="BM79" s="21">
        <v>283027</v>
      </c>
      <c r="BN79" s="21">
        <v>695</v>
      </c>
      <c r="BO79" s="21">
        <v>2451</v>
      </c>
      <c r="BP79" s="21">
        <f t="shared" si="23"/>
        <v>1014031.2609999999</v>
      </c>
      <c r="BQ79" s="21">
        <f t="shared" si="24"/>
        <v>2904145.7519999999</v>
      </c>
    </row>
    <row r="80" spans="1:69" x14ac:dyDescent="0.25">
      <c r="A80" s="21" t="s">
        <v>72</v>
      </c>
      <c r="B80" s="21">
        <v>25244</v>
      </c>
      <c r="C80" s="21">
        <v>31106</v>
      </c>
      <c r="D80" s="21">
        <v>8833</v>
      </c>
      <c r="E80" s="21">
        <v>20279</v>
      </c>
      <c r="F80" s="21">
        <v>-347586</v>
      </c>
      <c r="G80" s="21">
        <v>1820799</v>
      </c>
      <c r="H80" s="21">
        <v>321568</v>
      </c>
      <c r="I80" s="21">
        <v>1054909</v>
      </c>
      <c r="J80" s="21">
        <v>796697</v>
      </c>
      <c r="K80" s="21">
        <v>2762297</v>
      </c>
      <c r="L80" s="21">
        <v>250612</v>
      </c>
      <c r="M80" s="21">
        <v>723230</v>
      </c>
      <c r="N80" s="21">
        <v>1173879</v>
      </c>
      <c r="O80" s="21">
        <v>1875115</v>
      </c>
      <c r="P80" s="21">
        <v>7035</v>
      </c>
      <c r="Q80" s="21">
        <v>30213</v>
      </c>
      <c r="R80" s="21">
        <v>-4984</v>
      </c>
      <c r="S80" s="21">
        <v>-413913</v>
      </c>
      <c r="T80" s="21">
        <v>22805</v>
      </c>
      <c r="U80" s="21">
        <v>101494</v>
      </c>
      <c r="V80" s="21">
        <v>142433.71</v>
      </c>
      <c r="W80" s="21">
        <v>393530.5</v>
      </c>
      <c r="X80" s="21">
        <v>214194</v>
      </c>
      <c r="Y80" s="21">
        <v>494539</v>
      </c>
      <c r="Z80" s="21">
        <v>39087</v>
      </c>
      <c r="AA80" s="21">
        <v>65096</v>
      </c>
      <c r="AB80" s="21">
        <v>-2007952</v>
      </c>
      <c r="AC80" s="21">
        <v>-6285994</v>
      </c>
      <c r="AD80" s="21">
        <v>2215143</v>
      </c>
      <c r="AE80" s="21">
        <v>6734834</v>
      </c>
      <c r="AF80" s="21">
        <v>606634</v>
      </c>
      <c r="AG80" s="21">
        <v>1947622</v>
      </c>
      <c r="AH80" s="21">
        <v>21683</v>
      </c>
      <c r="AI80" s="21">
        <v>47320</v>
      </c>
      <c r="AJ80" s="21">
        <v>35583</v>
      </c>
      <c r="AK80" s="21">
        <v>110590</v>
      </c>
      <c r="AL80" s="21">
        <v>-333132</v>
      </c>
      <c r="AM80" s="21">
        <v>-466122</v>
      </c>
      <c r="AN80" s="21">
        <v>207356</v>
      </c>
      <c r="AO80" s="21">
        <v>585401</v>
      </c>
      <c r="AP80" s="21">
        <v>595372.0909999999</v>
      </c>
      <c r="AQ80" s="21">
        <v>3002626.2229999998</v>
      </c>
      <c r="AR80" s="21">
        <v>1017584</v>
      </c>
      <c r="AS80" s="21">
        <v>2726584</v>
      </c>
      <c r="AT80" s="21">
        <v>655907</v>
      </c>
      <c r="AU80" s="21">
        <v>1953060</v>
      </c>
      <c r="AV80" s="21">
        <v>4249</v>
      </c>
      <c r="AW80" s="21">
        <v>14700</v>
      </c>
      <c r="AX80" s="21">
        <v>807447</v>
      </c>
      <c r="AY80" s="21">
        <v>2915411</v>
      </c>
      <c r="AZ80" s="21">
        <v>654711</v>
      </c>
      <c r="BA80" s="21">
        <v>1637911</v>
      </c>
      <c r="BB80" s="21">
        <v>-367217</v>
      </c>
      <c r="BC80" s="21">
        <v>-1368635</v>
      </c>
      <c r="BD80" s="21">
        <v>1094316</v>
      </c>
      <c r="BE80" s="21">
        <v>3263003</v>
      </c>
      <c r="BF80" s="21">
        <v>42496</v>
      </c>
      <c r="BG80" s="21">
        <v>116542</v>
      </c>
      <c r="BH80" s="21">
        <v>793152</v>
      </c>
      <c r="BI80" s="21">
        <v>2037204</v>
      </c>
      <c r="BJ80" s="21">
        <v>1669896</v>
      </c>
      <c r="BK80" s="21">
        <v>4589858</v>
      </c>
      <c r="BL80" s="21">
        <v>459256</v>
      </c>
      <c r="BM80" s="21">
        <v>1067542</v>
      </c>
      <c r="BN80" s="21">
        <v>265983</v>
      </c>
      <c r="BO80" s="21">
        <v>339631</v>
      </c>
      <c r="BP80" s="21">
        <f t="shared" si="23"/>
        <v>11088284.800999999</v>
      </c>
      <c r="BQ80" s="21">
        <f t="shared" si="24"/>
        <v>33927782.722999997</v>
      </c>
    </row>
    <row r="81" spans="1:69" x14ac:dyDescent="0.25">
      <c r="A81" s="21" t="s">
        <v>73</v>
      </c>
      <c r="B81" s="21">
        <v>-20151</v>
      </c>
      <c r="C81" s="21">
        <v>-25517</v>
      </c>
      <c r="D81" s="21">
        <v>134993</v>
      </c>
      <c r="E81" s="21">
        <v>298466</v>
      </c>
      <c r="F81" s="21">
        <v>385203</v>
      </c>
      <c r="G81" s="21">
        <v>-1741616</v>
      </c>
      <c r="H81" s="21">
        <v>279403</v>
      </c>
      <c r="I81" s="21">
        <v>454960</v>
      </c>
      <c r="J81" s="21">
        <v>1424884</v>
      </c>
      <c r="K81" s="21">
        <v>3462523</v>
      </c>
      <c r="L81" s="21">
        <v>176303</v>
      </c>
      <c r="M81" s="21">
        <v>547202</v>
      </c>
      <c r="N81" s="21">
        <v>-520829</v>
      </c>
      <c r="O81" s="21">
        <v>-58735</v>
      </c>
      <c r="P81" s="21">
        <v>116398</v>
      </c>
      <c r="Q81" s="21">
        <v>372229</v>
      </c>
      <c r="R81" s="21">
        <v>-1070</v>
      </c>
      <c r="S81" s="21">
        <v>-113529</v>
      </c>
      <c r="T81" s="21">
        <v>-11843</v>
      </c>
      <c r="U81" s="21">
        <v>-80851</v>
      </c>
      <c r="V81" s="21">
        <v>-128987.54</v>
      </c>
      <c r="W81" s="21">
        <v>-358583.19</v>
      </c>
      <c r="X81" s="21">
        <v>183010</v>
      </c>
      <c r="Y81" s="21">
        <v>552578</v>
      </c>
      <c r="Z81" s="21">
        <v>50833</v>
      </c>
      <c r="AA81" s="21">
        <v>129161</v>
      </c>
      <c r="AB81" s="21">
        <v>-202875</v>
      </c>
      <c r="AC81" s="21">
        <v>-1438649</v>
      </c>
      <c r="AD81" s="21">
        <v>921077</v>
      </c>
      <c r="AE81" s="21">
        <v>1597457</v>
      </c>
      <c r="AF81" s="21">
        <v>561219</v>
      </c>
      <c r="AG81" s="21">
        <v>1560375</v>
      </c>
      <c r="AH81" s="21">
        <v>52056</v>
      </c>
      <c r="AI81" s="21">
        <v>141319</v>
      </c>
      <c r="AJ81" s="21">
        <v>255993</v>
      </c>
      <c r="AK81" s="21">
        <v>755559</v>
      </c>
      <c r="AL81" s="21">
        <v>-170972</v>
      </c>
      <c r="AM81" s="21">
        <v>-103235</v>
      </c>
      <c r="AN81" s="21">
        <v>46534</v>
      </c>
      <c r="AO81" s="21">
        <v>108113</v>
      </c>
      <c r="AP81" s="21">
        <v>2089854.9760000003</v>
      </c>
      <c r="AQ81" s="21">
        <v>4416391.398</v>
      </c>
      <c r="AR81" s="21">
        <v>4960185</v>
      </c>
      <c r="AS81" s="21">
        <v>15034385</v>
      </c>
      <c r="AT81" s="21">
        <v>1448263</v>
      </c>
      <c r="AU81" s="21">
        <v>4458835</v>
      </c>
      <c r="AV81" s="21">
        <v>17165</v>
      </c>
      <c r="AW81" s="21">
        <v>55411</v>
      </c>
      <c r="AX81" s="21">
        <v>127202</v>
      </c>
      <c r="AY81" s="21">
        <v>-16696</v>
      </c>
      <c r="AZ81" s="21">
        <v>-177314</v>
      </c>
      <c r="BA81" s="21">
        <v>-215744</v>
      </c>
      <c r="BB81" s="21">
        <v>197451</v>
      </c>
      <c r="BC81" s="21">
        <v>521706</v>
      </c>
      <c r="BD81" s="21">
        <v>-168609</v>
      </c>
      <c r="BE81" s="21">
        <v>-665804</v>
      </c>
      <c r="BF81" s="21">
        <v>199488</v>
      </c>
      <c r="BG81" s="21">
        <v>558126</v>
      </c>
      <c r="BH81" s="21">
        <v>886907</v>
      </c>
      <c r="BI81" s="21">
        <v>2457347</v>
      </c>
      <c r="BJ81" s="21">
        <v>-38344</v>
      </c>
      <c r="BK81" s="21">
        <v>374679</v>
      </c>
      <c r="BL81" s="21">
        <v>1662008</v>
      </c>
      <c r="BM81" s="21">
        <v>4956249</v>
      </c>
      <c r="BN81" s="21">
        <f>BN78+BN79-BN80</f>
        <v>27333</v>
      </c>
      <c r="BO81" s="21">
        <f>BO78+BO79-BO80</f>
        <v>438865</v>
      </c>
      <c r="BP81" s="21">
        <f t="shared" si="23"/>
        <v>14762768.436000001</v>
      </c>
      <c r="BQ81" s="21">
        <f t="shared" si="24"/>
        <v>38432977.208000004</v>
      </c>
    </row>
  </sheetData>
  <mergeCells count="340">
    <mergeCell ref="BL76:BM76"/>
    <mergeCell ref="BN76:BO76"/>
    <mergeCell ref="AZ76:BA76"/>
    <mergeCell ref="BB76:BC76"/>
    <mergeCell ref="BD76:BE76"/>
    <mergeCell ref="BF76:BG76"/>
    <mergeCell ref="BH76:BI76"/>
    <mergeCell ref="BJ76:BK76"/>
    <mergeCell ref="AN76:AO76"/>
    <mergeCell ref="AP76:AQ76"/>
    <mergeCell ref="AR76:AS76"/>
    <mergeCell ref="AT76:AU76"/>
    <mergeCell ref="AV76:AW76"/>
    <mergeCell ref="AX76:AY76"/>
    <mergeCell ref="AF76:AG76"/>
    <mergeCell ref="AH76:AI76"/>
    <mergeCell ref="AJ76:AK76"/>
    <mergeCell ref="AL76:AM76"/>
    <mergeCell ref="P76:Q76"/>
    <mergeCell ref="R76:S76"/>
    <mergeCell ref="T76:U76"/>
    <mergeCell ref="V76:W76"/>
    <mergeCell ref="X76:Y76"/>
    <mergeCell ref="Z76:AA76"/>
    <mergeCell ref="BN68:BO68"/>
    <mergeCell ref="B76:C76"/>
    <mergeCell ref="D76:E76"/>
    <mergeCell ref="F76:G76"/>
    <mergeCell ref="H76:I76"/>
    <mergeCell ref="J76:K76"/>
    <mergeCell ref="L76:M76"/>
    <mergeCell ref="N76:O76"/>
    <mergeCell ref="AX68:AY68"/>
    <mergeCell ref="AZ68:BA68"/>
    <mergeCell ref="BB68:BC68"/>
    <mergeCell ref="BD68:BE68"/>
    <mergeCell ref="BF68:BG68"/>
    <mergeCell ref="BH68:BI68"/>
    <mergeCell ref="AL68:AM68"/>
    <mergeCell ref="AN68:AO68"/>
    <mergeCell ref="AP68:AQ68"/>
    <mergeCell ref="AR68:AS68"/>
    <mergeCell ref="AT68:AU68"/>
    <mergeCell ref="AV68:AW68"/>
    <mergeCell ref="Z68:AA68"/>
    <mergeCell ref="AB68:AC68"/>
    <mergeCell ref="AB76:AC76"/>
    <mergeCell ref="AD76:AE76"/>
    <mergeCell ref="AJ68:AK68"/>
    <mergeCell ref="N68:O68"/>
    <mergeCell ref="P68:Q68"/>
    <mergeCell ref="R68:S68"/>
    <mergeCell ref="T68:U68"/>
    <mergeCell ref="V68:W68"/>
    <mergeCell ref="X68:Y68"/>
    <mergeCell ref="BJ68:BK68"/>
    <mergeCell ref="BL68:BM68"/>
    <mergeCell ref="B68:C68"/>
    <mergeCell ref="D68:E68"/>
    <mergeCell ref="F68:G68"/>
    <mergeCell ref="H68:I68"/>
    <mergeCell ref="J68:K68"/>
    <mergeCell ref="L68:M68"/>
    <mergeCell ref="BD52:BE52"/>
    <mergeCell ref="BF52:BG52"/>
    <mergeCell ref="BH52:BI52"/>
    <mergeCell ref="AF52:AG52"/>
    <mergeCell ref="AH52:AI52"/>
    <mergeCell ref="AJ52:AK52"/>
    <mergeCell ref="AL52:AM52"/>
    <mergeCell ref="AN52:AO52"/>
    <mergeCell ref="AP52:AQ52"/>
    <mergeCell ref="T52:U52"/>
    <mergeCell ref="V52:W52"/>
    <mergeCell ref="X52:Y52"/>
    <mergeCell ref="Z52:AA52"/>
    <mergeCell ref="AB52:AC52"/>
    <mergeCell ref="AD52:AE52"/>
    <mergeCell ref="AD68:AE68"/>
    <mergeCell ref="AF68:AG68"/>
    <mergeCell ref="AH68:AI68"/>
    <mergeCell ref="BJ52:BK52"/>
    <mergeCell ref="BL52:BM52"/>
    <mergeCell ref="BN52:BO52"/>
    <mergeCell ref="AR52:AS52"/>
    <mergeCell ref="AT52:AU52"/>
    <mergeCell ref="AV52:AW52"/>
    <mergeCell ref="AX52:AY52"/>
    <mergeCell ref="AZ52:BA52"/>
    <mergeCell ref="BB52:BC52"/>
    <mergeCell ref="BN44:BO44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B44:BC44"/>
    <mergeCell ref="BD44:BE44"/>
    <mergeCell ref="BF44:BG44"/>
    <mergeCell ref="BH44:BI44"/>
    <mergeCell ref="BJ44:BK44"/>
    <mergeCell ref="BL44:BM44"/>
    <mergeCell ref="AP44:AQ44"/>
    <mergeCell ref="AR44:AS44"/>
    <mergeCell ref="AT44:AU44"/>
    <mergeCell ref="AV44:AW44"/>
    <mergeCell ref="AX44:AY44"/>
    <mergeCell ref="AZ44:BA44"/>
    <mergeCell ref="AD44:AE44"/>
    <mergeCell ref="AF44:AG44"/>
    <mergeCell ref="AJ44:AK44"/>
    <mergeCell ref="AL44:AM44"/>
    <mergeCell ref="AN44:AO44"/>
    <mergeCell ref="R44:S44"/>
    <mergeCell ref="T44:U44"/>
    <mergeCell ref="V44:W44"/>
    <mergeCell ref="X44:Y44"/>
    <mergeCell ref="Z44:AA44"/>
    <mergeCell ref="AB44:AC44"/>
    <mergeCell ref="BN36:BO36"/>
    <mergeCell ref="B44:C44"/>
    <mergeCell ref="D44:E44"/>
    <mergeCell ref="F44:G44"/>
    <mergeCell ref="H44:I44"/>
    <mergeCell ref="J44:K44"/>
    <mergeCell ref="L44:M44"/>
    <mergeCell ref="N44:O44"/>
    <mergeCell ref="P44:Q44"/>
    <mergeCell ref="AZ36:BA36"/>
    <mergeCell ref="BB36:BC36"/>
    <mergeCell ref="BD36:BE36"/>
    <mergeCell ref="BF36:BG36"/>
    <mergeCell ref="BH36:BI36"/>
    <mergeCell ref="BJ36:BK36"/>
    <mergeCell ref="AN36:AO36"/>
    <mergeCell ref="AP36:AQ36"/>
    <mergeCell ref="AR36:AS36"/>
    <mergeCell ref="AT36:AU36"/>
    <mergeCell ref="AV36:AW36"/>
    <mergeCell ref="AX36:AY36"/>
    <mergeCell ref="AB36:AC36"/>
    <mergeCell ref="AD36:AE36"/>
    <mergeCell ref="AH44:AI44"/>
    <mergeCell ref="AJ36:AK36"/>
    <mergeCell ref="AL36:AM36"/>
    <mergeCell ref="P36:Q36"/>
    <mergeCell ref="R36:S36"/>
    <mergeCell ref="T36:U36"/>
    <mergeCell ref="V36:W36"/>
    <mergeCell ref="X36:Y36"/>
    <mergeCell ref="Z36:AA36"/>
    <mergeCell ref="BL36:BM36"/>
    <mergeCell ref="BN28:BO28"/>
    <mergeCell ref="B36:C36"/>
    <mergeCell ref="D36:E36"/>
    <mergeCell ref="F36:G36"/>
    <mergeCell ref="H36:I36"/>
    <mergeCell ref="J36:K36"/>
    <mergeCell ref="L36:M36"/>
    <mergeCell ref="N36:O36"/>
    <mergeCell ref="AX28:AY28"/>
    <mergeCell ref="AZ28:BA28"/>
    <mergeCell ref="BB28:BC28"/>
    <mergeCell ref="BD28:BE28"/>
    <mergeCell ref="BF28:BG28"/>
    <mergeCell ref="BH28:BI28"/>
    <mergeCell ref="AL28:AM28"/>
    <mergeCell ref="AN28:AO28"/>
    <mergeCell ref="AP28:AQ28"/>
    <mergeCell ref="AR28:AS28"/>
    <mergeCell ref="AT28:AU28"/>
    <mergeCell ref="AV28:AW28"/>
    <mergeCell ref="Z28:AA28"/>
    <mergeCell ref="AB28:AC28"/>
    <mergeCell ref="AF36:AG36"/>
    <mergeCell ref="AH36:AI36"/>
    <mergeCell ref="AJ28:AK28"/>
    <mergeCell ref="N28:O28"/>
    <mergeCell ref="P28:Q28"/>
    <mergeCell ref="R28:S28"/>
    <mergeCell ref="T28:U28"/>
    <mergeCell ref="V28:W28"/>
    <mergeCell ref="X28:Y28"/>
    <mergeCell ref="BJ28:BK28"/>
    <mergeCell ref="BL28:BM28"/>
    <mergeCell ref="B28:C28"/>
    <mergeCell ref="D28:E28"/>
    <mergeCell ref="F28:G28"/>
    <mergeCell ref="H28:I28"/>
    <mergeCell ref="J28:K28"/>
    <mergeCell ref="L28:M28"/>
    <mergeCell ref="BD20:BE20"/>
    <mergeCell ref="BF20:BG20"/>
    <mergeCell ref="BH20:BI20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AB20:AC20"/>
    <mergeCell ref="AD20:AE20"/>
    <mergeCell ref="AD28:AE28"/>
    <mergeCell ref="AF28:AG28"/>
    <mergeCell ref="AH28:AI28"/>
    <mergeCell ref="AZ12:BA12"/>
    <mergeCell ref="AD12:AE12"/>
    <mergeCell ref="AF12:AG12"/>
    <mergeCell ref="BJ20:BK20"/>
    <mergeCell ref="BL20:BM20"/>
    <mergeCell ref="BN20:BO20"/>
    <mergeCell ref="AR20:AS20"/>
    <mergeCell ref="AT20:AU20"/>
    <mergeCell ref="AV20:AW20"/>
    <mergeCell ref="AX20:AY20"/>
    <mergeCell ref="AZ20:BA20"/>
    <mergeCell ref="BB20:BC20"/>
    <mergeCell ref="X12:Y12"/>
    <mergeCell ref="Z12:AA12"/>
    <mergeCell ref="AB12:AC12"/>
    <mergeCell ref="BN12:BO12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B12:BC12"/>
    <mergeCell ref="BD12:BE12"/>
    <mergeCell ref="BF12:BG12"/>
    <mergeCell ref="BH12:BI12"/>
    <mergeCell ref="BJ12:BK12"/>
    <mergeCell ref="BL12:BM12"/>
    <mergeCell ref="AP12:AQ12"/>
    <mergeCell ref="AR12:AS12"/>
    <mergeCell ref="AT12:AU12"/>
    <mergeCell ref="AV12:AW12"/>
    <mergeCell ref="AX12:AY12"/>
    <mergeCell ref="B12:C12"/>
    <mergeCell ref="D12:E12"/>
    <mergeCell ref="F12:G12"/>
    <mergeCell ref="H12:I12"/>
    <mergeCell ref="J12:K12"/>
    <mergeCell ref="L12:M12"/>
    <mergeCell ref="N12:O12"/>
    <mergeCell ref="P12:Q12"/>
    <mergeCell ref="AZ4:BA4"/>
    <mergeCell ref="AN4:AO4"/>
    <mergeCell ref="AP4:AQ4"/>
    <mergeCell ref="AR4:AS4"/>
    <mergeCell ref="AT4:AU4"/>
    <mergeCell ref="AV4:AW4"/>
    <mergeCell ref="AX4:AY4"/>
    <mergeCell ref="Z4:AA4"/>
    <mergeCell ref="AB4:AC4"/>
    <mergeCell ref="AH12:AI12"/>
    <mergeCell ref="AJ12:AK12"/>
    <mergeCell ref="AL12:AM12"/>
    <mergeCell ref="AN12:AO12"/>
    <mergeCell ref="R12:S12"/>
    <mergeCell ref="T12:U12"/>
    <mergeCell ref="V12:W12"/>
    <mergeCell ref="AL4:AM4"/>
    <mergeCell ref="N4:O4"/>
    <mergeCell ref="P4:Q4"/>
    <mergeCell ref="R4:S4"/>
    <mergeCell ref="T4:U4"/>
    <mergeCell ref="V4:W4"/>
    <mergeCell ref="X4:Y4"/>
    <mergeCell ref="BL4:BM4"/>
    <mergeCell ref="BN4:BO4"/>
    <mergeCell ref="BB4:BC4"/>
    <mergeCell ref="BD4:BE4"/>
    <mergeCell ref="BF4:BG4"/>
    <mergeCell ref="BH4:BI4"/>
    <mergeCell ref="BJ4:BK4"/>
    <mergeCell ref="B4:C4"/>
    <mergeCell ref="D4:E4"/>
    <mergeCell ref="F4:G4"/>
    <mergeCell ref="H4:I4"/>
    <mergeCell ref="J4:K4"/>
    <mergeCell ref="L4:M4"/>
    <mergeCell ref="AD4:AE4"/>
    <mergeCell ref="AH4:AI4"/>
    <mergeCell ref="AJ4:AK4"/>
    <mergeCell ref="AF4:AG4"/>
    <mergeCell ref="BP4:BQ4"/>
    <mergeCell ref="BP12:BQ12"/>
    <mergeCell ref="BP20:BQ20"/>
    <mergeCell ref="BP28:BQ28"/>
    <mergeCell ref="BP36:BQ36"/>
    <mergeCell ref="BP44:BQ44"/>
    <mergeCell ref="BP52:BQ52"/>
    <mergeCell ref="BP68:BQ68"/>
    <mergeCell ref="BP76:BQ76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BD60:BE60"/>
    <mergeCell ref="BF60:BG60"/>
    <mergeCell ref="BH60:BI60"/>
    <mergeCell ref="BJ60:BK60"/>
    <mergeCell ref="BL60:BM60"/>
    <mergeCell ref="BN60:BO60"/>
    <mergeCell ref="BP60:BQ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BB60:BC6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6.140625" style="6" customWidth="1"/>
    <col min="2" max="69" width="14.140625" style="4" customWidth="1"/>
    <col min="70" max="16384" width="9.140625" style="4"/>
  </cols>
  <sheetData>
    <row r="1" spans="1:69" ht="18.75" x14ac:dyDescent="0.3">
      <c r="A1" s="28" t="s">
        <v>285</v>
      </c>
    </row>
    <row r="2" spans="1:69" x14ac:dyDescent="0.25">
      <c r="A2" s="6" t="s">
        <v>43</v>
      </c>
    </row>
    <row r="3" spans="1:69" s="15" customFormat="1" x14ac:dyDescent="0.25">
      <c r="A3" s="23" t="s">
        <v>0</v>
      </c>
      <c r="B3" s="110" t="s">
        <v>1</v>
      </c>
      <c r="C3" s="110"/>
      <c r="D3" s="110" t="s">
        <v>2</v>
      </c>
      <c r="E3" s="110"/>
      <c r="F3" s="110" t="s">
        <v>3</v>
      </c>
      <c r="G3" s="110"/>
      <c r="H3" s="110" t="s">
        <v>4</v>
      </c>
      <c r="I3" s="110"/>
      <c r="J3" s="110" t="s">
        <v>5</v>
      </c>
      <c r="K3" s="110"/>
      <c r="L3" s="110" t="s">
        <v>6</v>
      </c>
      <c r="M3" s="110"/>
      <c r="N3" s="110" t="s">
        <v>7</v>
      </c>
      <c r="O3" s="110"/>
      <c r="P3" s="110" t="s">
        <v>8</v>
      </c>
      <c r="Q3" s="110"/>
      <c r="R3" s="110" t="s">
        <v>9</v>
      </c>
      <c r="S3" s="110"/>
      <c r="T3" s="110" t="s">
        <v>10</v>
      </c>
      <c r="U3" s="110"/>
      <c r="V3" s="110" t="s">
        <v>11</v>
      </c>
      <c r="W3" s="110"/>
      <c r="X3" s="110" t="s">
        <v>12</v>
      </c>
      <c r="Y3" s="110"/>
      <c r="Z3" s="110" t="s">
        <v>13</v>
      </c>
      <c r="AA3" s="110"/>
      <c r="AB3" s="110" t="s">
        <v>14</v>
      </c>
      <c r="AC3" s="110"/>
      <c r="AD3" s="110" t="s">
        <v>15</v>
      </c>
      <c r="AE3" s="110"/>
      <c r="AF3" s="110" t="s">
        <v>16</v>
      </c>
      <c r="AG3" s="110"/>
      <c r="AH3" s="110" t="s">
        <v>17</v>
      </c>
      <c r="AI3" s="110"/>
      <c r="AJ3" s="110" t="s">
        <v>18</v>
      </c>
      <c r="AK3" s="110"/>
      <c r="AL3" s="110" t="s">
        <v>19</v>
      </c>
      <c r="AM3" s="110"/>
      <c r="AN3" s="110" t="s">
        <v>20</v>
      </c>
      <c r="AO3" s="110"/>
      <c r="AP3" s="110" t="s">
        <v>21</v>
      </c>
      <c r="AQ3" s="110"/>
      <c r="AR3" s="110" t="s">
        <v>161</v>
      </c>
      <c r="AS3" s="110"/>
      <c r="AT3" s="110" t="s">
        <v>162</v>
      </c>
      <c r="AU3" s="110"/>
      <c r="AV3" s="110" t="s">
        <v>22</v>
      </c>
      <c r="AW3" s="110"/>
      <c r="AX3" s="110" t="s">
        <v>23</v>
      </c>
      <c r="AY3" s="110"/>
      <c r="AZ3" s="110" t="s">
        <v>24</v>
      </c>
      <c r="BA3" s="110"/>
      <c r="BB3" s="110" t="s">
        <v>25</v>
      </c>
      <c r="BC3" s="110"/>
      <c r="BD3" s="110" t="s">
        <v>26</v>
      </c>
      <c r="BE3" s="110"/>
      <c r="BF3" s="110" t="s">
        <v>27</v>
      </c>
      <c r="BG3" s="110"/>
      <c r="BH3" s="110" t="s">
        <v>28</v>
      </c>
      <c r="BI3" s="110"/>
      <c r="BJ3" s="110" t="s">
        <v>29</v>
      </c>
      <c r="BK3" s="110"/>
      <c r="BL3" s="110" t="s">
        <v>30</v>
      </c>
      <c r="BM3" s="110"/>
      <c r="BN3" s="110" t="s">
        <v>31</v>
      </c>
      <c r="BO3" s="110"/>
      <c r="BP3" s="110" t="s">
        <v>304</v>
      </c>
      <c r="BQ3" s="110"/>
    </row>
    <row r="4" spans="1:69" s="43" customFormat="1" ht="44.25" customHeight="1" x14ac:dyDescent="0.25">
      <c r="A4" s="44"/>
      <c r="B4" s="44" t="s">
        <v>286</v>
      </c>
      <c r="C4" s="44" t="s">
        <v>287</v>
      </c>
      <c r="D4" s="44" t="s">
        <v>286</v>
      </c>
      <c r="E4" s="44" t="s">
        <v>287</v>
      </c>
      <c r="F4" s="44" t="s">
        <v>286</v>
      </c>
      <c r="G4" s="44" t="s">
        <v>287</v>
      </c>
      <c r="H4" s="44" t="s">
        <v>286</v>
      </c>
      <c r="I4" s="44" t="s">
        <v>287</v>
      </c>
      <c r="J4" s="44" t="s">
        <v>286</v>
      </c>
      <c r="K4" s="44" t="s">
        <v>287</v>
      </c>
      <c r="L4" s="44" t="s">
        <v>286</v>
      </c>
      <c r="M4" s="44" t="s">
        <v>287</v>
      </c>
      <c r="N4" s="44" t="s">
        <v>286</v>
      </c>
      <c r="O4" s="44" t="s">
        <v>287</v>
      </c>
      <c r="P4" s="44" t="s">
        <v>286</v>
      </c>
      <c r="Q4" s="44" t="s">
        <v>287</v>
      </c>
      <c r="R4" s="44" t="s">
        <v>286</v>
      </c>
      <c r="S4" s="44" t="s">
        <v>287</v>
      </c>
      <c r="T4" s="44" t="s">
        <v>286</v>
      </c>
      <c r="U4" s="44" t="s">
        <v>287</v>
      </c>
      <c r="V4" s="44" t="s">
        <v>286</v>
      </c>
      <c r="W4" s="44" t="s">
        <v>287</v>
      </c>
      <c r="X4" s="44" t="s">
        <v>286</v>
      </c>
      <c r="Y4" s="44" t="s">
        <v>287</v>
      </c>
      <c r="Z4" s="44" t="s">
        <v>286</v>
      </c>
      <c r="AA4" s="44" t="s">
        <v>287</v>
      </c>
      <c r="AB4" s="44" t="s">
        <v>286</v>
      </c>
      <c r="AC4" s="44" t="s">
        <v>287</v>
      </c>
      <c r="AD4" s="44" t="s">
        <v>286</v>
      </c>
      <c r="AE4" s="44" t="s">
        <v>287</v>
      </c>
      <c r="AF4" s="44" t="s">
        <v>286</v>
      </c>
      <c r="AG4" s="44" t="s">
        <v>287</v>
      </c>
      <c r="AH4" s="44" t="s">
        <v>286</v>
      </c>
      <c r="AI4" s="44" t="s">
        <v>287</v>
      </c>
      <c r="AJ4" s="44" t="s">
        <v>286</v>
      </c>
      <c r="AK4" s="44" t="s">
        <v>287</v>
      </c>
      <c r="AL4" s="44" t="s">
        <v>286</v>
      </c>
      <c r="AM4" s="44" t="s">
        <v>287</v>
      </c>
      <c r="AN4" s="44" t="s">
        <v>286</v>
      </c>
      <c r="AO4" s="44" t="s">
        <v>287</v>
      </c>
      <c r="AP4" s="44" t="s">
        <v>286</v>
      </c>
      <c r="AQ4" s="44" t="s">
        <v>287</v>
      </c>
      <c r="AR4" s="44" t="s">
        <v>286</v>
      </c>
      <c r="AS4" s="44" t="s">
        <v>287</v>
      </c>
      <c r="AT4" s="44" t="s">
        <v>286</v>
      </c>
      <c r="AU4" s="44" t="s">
        <v>287</v>
      </c>
      <c r="AV4" s="44" t="s">
        <v>286</v>
      </c>
      <c r="AW4" s="44" t="s">
        <v>287</v>
      </c>
      <c r="AX4" s="44" t="s">
        <v>286</v>
      </c>
      <c r="AY4" s="44" t="s">
        <v>287</v>
      </c>
      <c r="AZ4" s="44" t="s">
        <v>286</v>
      </c>
      <c r="BA4" s="44" t="s">
        <v>287</v>
      </c>
      <c r="BB4" s="44" t="s">
        <v>286</v>
      </c>
      <c r="BC4" s="44" t="s">
        <v>287</v>
      </c>
      <c r="BD4" s="44" t="s">
        <v>286</v>
      </c>
      <c r="BE4" s="44" t="s">
        <v>287</v>
      </c>
      <c r="BF4" s="44" t="s">
        <v>286</v>
      </c>
      <c r="BG4" s="44" t="s">
        <v>287</v>
      </c>
      <c r="BH4" s="44" t="s">
        <v>286</v>
      </c>
      <c r="BI4" s="44" t="s">
        <v>287</v>
      </c>
      <c r="BJ4" s="44" t="s">
        <v>286</v>
      </c>
      <c r="BK4" s="44" t="s">
        <v>287</v>
      </c>
      <c r="BL4" s="44" t="s">
        <v>286</v>
      </c>
      <c r="BM4" s="44" t="s">
        <v>287</v>
      </c>
      <c r="BN4" s="44" t="s">
        <v>286</v>
      </c>
      <c r="BO4" s="44" t="s">
        <v>287</v>
      </c>
      <c r="BP4" s="44" t="s">
        <v>286</v>
      </c>
      <c r="BQ4" s="44" t="s">
        <v>287</v>
      </c>
    </row>
    <row r="5" spans="1:69" x14ac:dyDescent="0.25">
      <c r="A5" s="25" t="s">
        <v>274</v>
      </c>
      <c r="B5" s="21">
        <v>46398</v>
      </c>
      <c r="C5" s="21">
        <v>132640</v>
      </c>
      <c r="D5" s="21">
        <v>518787</v>
      </c>
      <c r="E5" s="21">
        <v>1466109</v>
      </c>
      <c r="F5" s="21">
        <v>110094</v>
      </c>
      <c r="G5" s="21">
        <v>372109</v>
      </c>
      <c r="H5" s="21">
        <v>508503</v>
      </c>
      <c r="I5" s="21">
        <v>1579465</v>
      </c>
      <c r="J5" s="21">
        <v>2288191</v>
      </c>
      <c r="K5" s="21">
        <v>6022099</v>
      </c>
      <c r="L5" s="21">
        <v>402455</v>
      </c>
      <c r="M5" s="21">
        <v>1261252</v>
      </c>
      <c r="N5" s="21">
        <v>324586</v>
      </c>
      <c r="O5" s="21">
        <v>927759</v>
      </c>
      <c r="P5" s="21">
        <v>328133</v>
      </c>
      <c r="Q5" s="21">
        <v>981684</v>
      </c>
      <c r="R5" s="45">
        <v>98259</v>
      </c>
      <c r="S5" s="45">
        <v>260568</v>
      </c>
      <c r="T5" s="21">
        <v>97238</v>
      </c>
      <c r="U5" s="21">
        <v>275886</v>
      </c>
      <c r="V5" s="21">
        <v>228501</v>
      </c>
      <c r="W5" s="21">
        <v>690198</v>
      </c>
      <c r="X5" s="21"/>
      <c r="Y5" s="21"/>
      <c r="Z5" s="21">
        <v>226005</v>
      </c>
      <c r="AA5" s="21">
        <v>579513</v>
      </c>
      <c r="AB5" s="21">
        <v>880470</v>
      </c>
      <c r="AC5" s="21">
        <v>2494931</v>
      </c>
      <c r="AD5" s="21">
        <v>1423015</v>
      </c>
      <c r="AE5" s="21">
        <v>4405820</v>
      </c>
      <c r="AF5" s="21">
        <v>582608</v>
      </c>
      <c r="AG5" s="21">
        <v>1505978</v>
      </c>
      <c r="AH5" s="21">
        <v>111802</v>
      </c>
      <c r="AI5" s="21">
        <v>359139</v>
      </c>
      <c r="AJ5" s="21">
        <v>299707</v>
      </c>
      <c r="AK5" s="21">
        <v>945076</v>
      </c>
      <c r="AL5" s="21">
        <v>228146</v>
      </c>
      <c r="AM5" s="21">
        <v>641964</v>
      </c>
      <c r="AN5" s="21">
        <v>430102</v>
      </c>
      <c r="AO5" s="21">
        <v>1145620</v>
      </c>
      <c r="AP5" s="21">
        <v>4672707</v>
      </c>
      <c r="AQ5" s="21">
        <v>14703485</v>
      </c>
      <c r="AR5" s="21">
        <v>6046343</v>
      </c>
      <c r="AS5" s="21">
        <v>17085336</v>
      </c>
      <c r="AT5" s="21">
        <v>4393913</v>
      </c>
      <c r="AU5" s="21">
        <v>12826669</v>
      </c>
      <c r="AV5" s="21">
        <v>19671</v>
      </c>
      <c r="AW5" s="21">
        <v>70977</v>
      </c>
      <c r="AX5" s="21">
        <v>908609</v>
      </c>
      <c r="AY5" s="21">
        <v>2727509</v>
      </c>
      <c r="AZ5" s="21">
        <v>739543</v>
      </c>
      <c r="BA5" s="21">
        <v>2054523</v>
      </c>
      <c r="BB5" s="21">
        <v>426521</v>
      </c>
      <c r="BC5" s="21">
        <v>1222525</v>
      </c>
      <c r="BD5" s="21">
        <v>666125</v>
      </c>
      <c r="BE5" s="21">
        <v>1935286</v>
      </c>
      <c r="BF5" s="21">
        <v>213847</v>
      </c>
      <c r="BG5" s="21">
        <v>624115</v>
      </c>
      <c r="BH5" s="21">
        <v>1765504</v>
      </c>
      <c r="BI5" s="21">
        <v>5278923</v>
      </c>
      <c r="BJ5" s="21">
        <v>1117857</v>
      </c>
      <c r="BK5" s="21">
        <v>3085272</v>
      </c>
      <c r="BL5" s="21">
        <v>6449123</v>
      </c>
      <c r="BM5" s="21">
        <v>15601769</v>
      </c>
      <c r="BN5" s="21">
        <v>162667</v>
      </c>
      <c r="BO5" s="21">
        <v>497722</v>
      </c>
      <c r="BP5" s="21">
        <f>B5+D5+F5+H5+J5+L5+N5+P5+R5+T5+V5+X5+Z5+AB5+AD5+AF5+AH5+AJ5+AL5+AN5+AP5+AR5+AT5+AV5+AX5+AZ5+BB5+BD5+BF5+BH5+BJ5+BL5+BN5</f>
        <v>36715430</v>
      </c>
      <c r="BQ5" s="21">
        <f>C5+E5+G5+I5+K5+M5+O5+Q5+S5+U5+W5+Y5+AA5+AC5+AE5+AG5+AI5+AK5+AM5+AO5+AQ5+AS5+AU5+AW5+AY5+BA5+BC5+BE5+BG5+BI5+BK5+BM5+BO5</f>
        <v>103761921</v>
      </c>
    </row>
    <row r="6" spans="1:69" x14ac:dyDescent="0.25">
      <c r="A6" s="25" t="s">
        <v>275</v>
      </c>
      <c r="B6" s="21">
        <v>5169</v>
      </c>
      <c r="C6" s="21">
        <v>12554</v>
      </c>
      <c r="D6" s="21">
        <v>22702</v>
      </c>
      <c r="E6" s="21">
        <v>60166</v>
      </c>
      <c r="F6" s="21">
        <v>12292</v>
      </c>
      <c r="G6" s="21">
        <v>33379</v>
      </c>
      <c r="H6" s="21">
        <v>37592</v>
      </c>
      <c r="I6" s="21">
        <v>89741</v>
      </c>
      <c r="J6" s="21">
        <v>136884</v>
      </c>
      <c r="K6" s="21">
        <v>403069</v>
      </c>
      <c r="L6" s="21">
        <v>32979</v>
      </c>
      <c r="M6" s="21">
        <v>80167</v>
      </c>
      <c r="N6" s="21">
        <v>35773</v>
      </c>
      <c r="O6" s="21">
        <v>98461</v>
      </c>
      <c r="P6" s="21">
        <v>17824</v>
      </c>
      <c r="Q6" s="21">
        <v>57195</v>
      </c>
      <c r="R6" s="21">
        <v>2553</v>
      </c>
      <c r="S6" s="21">
        <v>6860</v>
      </c>
      <c r="T6" s="21">
        <v>2881</v>
      </c>
      <c r="U6" s="21">
        <v>7741</v>
      </c>
      <c r="V6" s="21">
        <v>19503</v>
      </c>
      <c r="W6" s="21">
        <v>73805</v>
      </c>
      <c r="X6" s="21"/>
      <c r="Y6" s="21"/>
      <c r="Z6" s="21">
        <v>20082</v>
      </c>
      <c r="AA6" s="21">
        <v>53982</v>
      </c>
      <c r="AB6" s="21">
        <v>43296</v>
      </c>
      <c r="AC6" s="21">
        <v>119683</v>
      </c>
      <c r="AD6" s="21">
        <v>115453</v>
      </c>
      <c r="AE6" s="21">
        <v>362245</v>
      </c>
      <c r="AF6" s="21">
        <v>45273</v>
      </c>
      <c r="AG6" s="21">
        <v>105296</v>
      </c>
      <c r="AH6" s="21">
        <v>6625</v>
      </c>
      <c r="AI6" s="21">
        <v>18352</v>
      </c>
      <c r="AJ6" s="21">
        <v>29040</v>
      </c>
      <c r="AK6" s="21">
        <v>82841</v>
      </c>
      <c r="AL6" s="21">
        <v>16469</v>
      </c>
      <c r="AM6" s="21">
        <v>45433</v>
      </c>
      <c r="AN6" s="21">
        <v>18238</v>
      </c>
      <c r="AO6" s="21">
        <v>44018</v>
      </c>
      <c r="AP6" s="21">
        <v>139707</v>
      </c>
      <c r="AQ6" s="21">
        <v>378112</v>
      </c>
      <c r="AR6" s="21">
        <v>167253</v>
      </c>
      <c r="AS6" s="21">
        <v>473944</v>
      </c>
      <c r="AT6" s="21">
        <v>99524</v>
      </c>
      <c r="AU6" s="21">
        <v>275599</v>
      </c>
      <c r="AV6" s="21">
        <v>854</v>
      </c>
      <c r="AW6" s="21">
        <v>2846</v>
      </c>
      <c r="AX6" s="21">
        <v>51678</v>
      </c>
      <c r="AY6" s="21">
        <v>156028</v>
      </c>
      <c r="AZ6" s="21">
        <v>64116</v>
      </c>
      <c r="BA6" s="21">
        <v>195236</v>
      </c>
      <c r="BB6" s="21">
        <v>26003</v>
      </c>
      <c r="BC6" s="21">
        <v>59438</v>
      </c>
      <c r="BD6" s="21">
        <v>-40131</v>
      </c>
      <c r="BE6" s="21">
        <v>109331</v>
      </c>
      <c r="BF6" s="21">
        <v>31170</v>
      </c>
      <c r="BG6" s="21">
        <v>83573</v>
      </c>
      <c r="BH6" s="21">
        <v>51448</v>
      </c>
      <c r="BI6" s="21">
        <v>179277</v>
      </c>
      <c r="BJ6" s="21">
        <v>73536</v>
      </c>
      <c r="BK6" s="21">
        <v>209585</v>
      </c>
      <c r="BL6" s="21">
        <v>151524</v>
      </c>
      <c r="BM6" s="21">
        <v>410686</v>
      </c>
      <c r="BN6" s="21">
        <v>20976</v>
      </c>
      <c r="BO6" s="21">
        <v>43477</v>
      </c>
      <c r="BP6" s="21">
        <f t="shared" ref="BP6:BP26" si="0">B6+D6+F6+H6+J6+L6+N6+P6+R6+T6+V6+X6+Z6+AB6+AD6+AF6+AH6+AJ6+AL6+AN6+AP6+AR6+AT6+AV6+AX6+AZ6+BB6+BD6+BF6+BH6+BJ6+BL6+BN6</f>
        <v>1458286</v>
      </c>
      <c r="BQ6" s="21">
        <f t="shared" ref="BQ6:BQ26" si="1">C6+E6+G6+I6+K6+M6+O6+Q6+S6+U6+W6+Y6+AA6+AC6+AE6+AG6+AI6+AK6+AM6+AO6+AQ6+AS6+AU6+AW6+AY6+BA6+BC6+BE6+BG6+BI6+BK6+BM6+BO6</f>
        <v>4332120</v>
      </c>
    </row>
    <row r="7" spans="1:69" x14ac:dyDescent="0.25">
      <c r="A7" s="25" t="s">
        <v>276</v>
      </c>
      <c r="B7" s="21">
        <v>54</v>
      </c>
      <c r="C7" s="21">
        <v>175</v>
      </c>
      <c r="D7" s="21">
        <v>8472</v>
      </c>
      <c r="E7" s="21">
        <v>21502</v>
      </c>
      <c r="F7" s="21">
        <v>396</v>
      </c>
      <c r="G7" s="21">
        <v>545</v>
      </c>
      <c r="H7" s="21">
        <v>4091</v>
      </c>
      <c r="I7" s="21">
        <v>18568</v>
      </c>
      <c r="J7" s="21">
        <v>2886</v>
      </c>
      <c r="K7" s="21">
        <v>1422</v>
      </c>
      <c r="L7" s="21">
        <v>1656</v>
      </c>
      <c r="M7" s="21">
        <v>6262</v>
      </c>
      <c r="N7" s="21">
        <v>9141</v>
      </c>
      <c r="O7" s="21">
        <v>26573</v>
      </c>
      <c r="P7" s="21">
        <v>58420</v>
      </c>
      <c r="Q7" s="21">
        <v>178279</v>
      </c>
      <c r="R7" s="21">
        <v>-9687</v>
      </c>
      <c r="S7" s="21">
        <v>61874</v>
      </c>
      <c r="T7" s="21">
        <v>972</v>
      </c>
      <c r="U7" s="21">
        <v>5396</v>
      </c>
      <c r="V7" s="21">
        <v>8598</v>
      </c>
      <c r="W7" s="21">
        <v>10769</v>
      </c>
      <c r="X7" s="21"/>
      <c r="Y7" s="21"/>
      <c r="Z7" s="21">
        <v>11594</v>
      </c>
      <c r="AA7" s="21">
        <v>11594</v>
      </c>
      <c r="AB7" s="21">
        <v>191355</v>
      </c>
      <c r="AC7" s="21">
        <v>439302</v>
      </c>
      <c r="AD7" s="21">
        <v>31788</v>
      </c>
      <c r="AE7" s="21">
        <v>56950</v>
      </c>
      <c r="AF7" s="21">
        <v>4696</v>
      </c>
      <c r="AG7" s="21">
        <v>8938</v>
      </c>
      <c r="AH7" s="21">
        <v>5580</v>
      </c>
      <c r="AI7" s="21">
        <v>6769</v>
      </c>
      <c r="AJ7" s="21">
        <v>68346</v>
      </c>
      <c r="AK7" s="21">
        <v>195072</v>
      </c>
      <c r="AL7" s="21"/>
      <c r="AM7" s="21"/>
      <c r="AN7" s="21">
        <v>9212</v>
      </c>
      <c r="AO7" s="21">
        <v>48432</v>
      </c>
      <c r="AP7" s="21">
        <v>11391</v>
      </c>
      <c r="AQ7" s="21">
        <v>48612</v>
      </c>
      <c r="AR7" s="21">
        <v>25966</v>
      </c>
      <c r="AS7" s="21">
        <v>45122</v>
      </c>
      <c r="AT7" s="21">
        <v>15264</v>
      </c>
      <c r="AU7" s="21">
        <v>42516</v>
      </c>
      <c r="AV7" s="21">
        <v>16</v>
      </c>
      <c r="AW7" s="21">
        <v>37</v>
      </c>
      <c r="AX7" s="21"/>
      <c r="AY7" s="21"/>
      <c r="AZ7" s="21"/>
      <c r="BA7" s="21"/>
      <c r="BB7" s="21">
        <v>1940</v>
      </c>
      <c r="BC7" s="21">
        <v>7331</v>
      </c>
      <c r="BD7" s="21">
        <v>3038</v>
      </c>
      <c r="BE7" s="21">
        <v>11920</v>
      </c>
      <c r="BF7" s="21">
        <v>2659</v>
      </c>
      <c r="BG7" s="21">
        <v>6376</v>
      </c>
      <c r="BH7" s="21">
        <v>10606</v>
      </c>
      <c r="BI7" s="21">
        <v>36690</v>
      </c>
      <c r="BJ7" s="21">
        <v>59798</v>
      </c>
      <c r="BK7" s="21">
        <v>139520</v>
      </c>
      <c r="BL7" s="21">
        <v>1905</v>
      </c>
      <c r="BM7" s="21">
        <v>18988</v>
      </c>
      <c r="BN7" s="21">
        <v>675</v>
      </c>
      <c r="BO7" s="21">
        <v>911</v>
      </c>
      <c r="BP7" s="21">
        <f t="shared" si="0"/>
        <v>540828</v>
      </c>
      <c r="BQ7" s="21">
        <f t="shared" si="1"/>
        <v>1456445</v>
      </c>
    </row>
    <row r="8" spans="1:69" x14ac:dyDescent="0.25">
      <c r="A8" s="25" t="s">
        <v>277</v>
      </c>
      <c r="B8" s="21">
        <v>4100</v>
      </c>
      <c r="C8" s="21">
        <v>11008</v>
      </c>
      <c r="D8" s="21">
        <v>32265</v>
      </c>
      <c r="E8" s="21">
        <v>95977</v>
      </c>
      <c r="F8" s="21">
        <v>25652</v>
      </c>
      <c r="G8" s="21">
        <v>77281</v>
      </c>
      <c r="H8" s="21">
        <v>38697</v>
      </c>
      <c r="I8" s="21">
        <v>111116</v>
      </c>
      <c r="J8" s="21">
        <v>85731</v>
      </c>
      <c r="K8" s="21">
        <v>242884</v>
      </c>
      <c r="L8" s="21">
        <v>124269</v>
      </c>
      <c r="M8" s="21">
        <v>332739</v>
      </c>
      <c r="N8" s="21">
        <v>24726</v>
      </c>
      <c r="O8" s="21">
        <v>80653</v>
      </c>
      <c r="P8" s="21">
        <v>32356</v>
      </c>
      <c r="Q8" s="21">
        <v>62536</v>
      </c>
      <c r="R8" s="21">
        <v>40781</v>
      </c>
      <c r="S8" s="21">
        <v>87343</v>
      </c>
      <c r="T8" s="21">
        <v>6038</v>
      </c>
      <c r="U8" s="21">
        <v>18075</v>
      </c>
      <c r="V8" s="21">
        <v>60340</v>
      </c>
      <c r="W8" s="21">
        <v>191800</v>
      </c>
      <c r="X8" s="21"/>
      <c r="Y8" s="21"/>
      <c r="Z8" s="21">
        <v>2603</v>
      </c>
      <c r="AA8" s="21">
        <v>3518</v>
      </c>
      <c r="AB8" s="21">
        <v>96597</v>
      </c>
      <c r="AC8" s="21">
        <v>288370</v>
      </c>
      <c r="AD8" s="21">
        <v>248086</v>
      </c>
      <c r="AE8" s="21">
        <v>789265</v>
      </c>
      <c r="AF8" s="21">
        <v>96416</v>
      </c>
      <c r="AG8" s="21">
        <v>266774</v>
      </c>
      <c r="AH8" s="21">
        <v>12317</v>
      </c>
      <c r="AI8" s="21">
        <v>38525</v>
      </c>
      <c r="AJ8" s="21">
        <v>39083</v>
      </c>
      <c r="AK8" s="21">
        <v>118859</v>
      </c>
      <c r="AL8" s="21">
        <v>13458</v>
      </c>
      <c r="AM8" s="21">
        <v>34539</v>
      </c>
      <c r="AN8" s="21">
        <v>33356</v>
      </c>
      <c r="AO8" s="21">
        <v>94564</v>
      </c>
      <c r="AP8" s="21">
        <v>251215</v>
      </c>
      <c r="AQ8" s="21">
        <v>712351</v>
      </c>
      <c r="AR8" s="21">
        <v>335808</v>
      </c>
      <c r="AS8" s="21">
        <v>934344</v>
      </c>
      <c r="AT8" s="21">
        <v>115663</v>
      </c>
      <c r="AU8" s="21">
        <v>587713</v>
      </c>
      <c r="AV8" s="21">
        <v>2052</v>
      </c>
      <c r="AW8" s="21">
        <v>8246</v>
      </c>
      <c r="AX8" s="21">
        <v>79926</v>
      </c>
      <c r="AY8" s="21">
        <v>234931</v>
      </c>
      <c r="AZ8" s="21">
        <v>17330</v>
      </c>
      <c r="BA8" s="21">
        <v>67989</v>
      </c>
      <c r="BB8" s="21">
        <v>54283</v>
      </c>
      <c r="BC8" s="21">
        <v>133391</v>
      </c>
      <c r="BD8" s="21">
        <v>65255</v>
      </c>
      <c r="BE8" s="21">
        <v>214207</v>
      </c>
      <c r="BF8" s="21">
        <v>23577</v>
      </c>
      <c r="BG8" s="21">
        <v>70444</v>
      </c>
      <c r="BH8" s="21">
        <v>119314</v>
      </c>
      <c r="BI8" s="21">
        <v>363476</v>
      </c>
      <c r="BJ8" s="21">
        <v>390701</v>
      </c>
      <c r="BK8" s="21">
        <v>1048727</v>
      </c>
      <c r="BL8" s="21">
        <v>239208</v>
      </c>
      <c r="BM8" s="21">
        <v>657615</v>
      </c>
      <c r="BN8" s="21">
        <v>99844</v>
      </c>
      <c r="BO8" s="21">
        <v>221252</v>
      </c>
      <c r="BP8" s="21">
        <f t="shared" si="0"/>
        <v>2811047</v>
      </c>
      <c r="BQ8" s="21">
        <f t="shared" si="1"/>
        <v>8200512</v>
      </c>
    </row>
    <row r="9" spans="1:69" x14ac:dyDescent="0.25">
      <c r="A9" s="25" t="s">
        <v>278</v>
      </c>
      <c r="B9" s="21">
        <v>126</v>
      </c>
      <c r="C9" s="21">
        <v>513</v>
      </c>
      <c r="D9" s="21">
        <v>3329</v>
      </c>
      <c r="E9" s="21">
        <v>8967</v>
      </c>
      <c r="F9" s="21">
        <v>4781</v>
      </c>
      <c r="G9" s="21">
        <v>11417</v>
      </c>
      <c r="H9" s="21">
        <v>25533</v>
      </c>
      <c r="I9" s="21">
        <v>79072</v>
      </c>
      <c r="J9" s="21">
        <v>21329</v>
      </c>
      <c r="K9" s="21">
        <v>70177</v>
      </c>
      <c r="L9" s="21">
        <v>8926</v>
      </c>
      <c r="M9" s="21">
        <v>33567</v>
      </c>
      <c r="N9" s="21">
        <v>3398</v>
      </c>
      <c r="O9" s="21">
        <v>16404</v>
      </c>
      <c r="P9" s="21">
        <v>2125</v>
      </c>
      <c r="Q9" s="21">
        <v>8136</v>
      </c>
      <c r="R9" s="21">
        <v>2283</v>
      </c>
      <c r="S9" s="21">
        <v>5574</v>
      </c>
      <c r="T9" s="21">
        <v>4570</v>
      </c>
      <c r="U9" s="21">
        <v>5961</v>
      </c>
      <c r="V9" s="21">
        <v>27132</v>
      </c>
      <c r="W9" s="21">
        <v>110806</v>
      </c>
      <c r="X9" s="21"/>
      <c r="Y9" s="21"/>
      <c r="Z9" s="21"/>
      <c r="AA9" s="21"/>
      <c r="AB9" s="21">
        <v>39623</v>
      </c>
      <c r="AC9" s="21">
        <v>116136</v>
      </c>
      <c r="AD9" s="21">
        <v>103588</v>
      </c>
      <c r="AE9" s="21">
        <v>377651</v>
      </c>
      <c r="AF9" s="21">
        <v>41016</v>
      </c>
      <c r="AG9" s="21">
        <v>107649</v>
      </c>
      <c r="AH9" s="21">
        <v>3108</v>
      </c>
      <c r="AI9" s="21">
        <v>9501</v>
      </c>
      <c r="AJ9" s="21">
        <v>34801</v>
      </c>
      <c r="AK9" s="21">
        <v>84177</v>
      </c>
      <c r="AL9" s="21">
        <v>6641</v>
      </c>
      <c r="AM9" s="21">
        <v>18976</v>
      </c>
      <c r="AN9" s="21">
        <v>52267</v>
      </c>
      <c r="AO9" s="21">
        <v>126475</v>
      </c>
      <c r="AP9" s="21">
        <v>13865</v>
      </c>
      <c r="AQ9" s="21">
        <v>37152</v>
      </c>
      <c r="AR9" s="21">
        <v>143533</v>
      </c>
      <c r="AS9" s="21">
        <v>434539</v>
      </c>
      <c r="AT9" s="21">
        <v>52589</v>
      </c>
      <c r="AU9" s="21">
        <v>139887</v>
      </c>
      <c r="AV9" s="21">
        <v>2676</v>
      </c>
      <c r="AW9" s="21">
        <v>6525</v>
      </c>
      <c r="AX9" s="21">
        <v>31789</v>
      </c>
      <c r="AY9" s="21">
        <v>227279</v>
      </c>
      <c r="AZ9" s="21">
        <v>596</v>
      </c>
      <c r="BA9" s="21">
        <v>25127</v>
      </c>
      <c r="BB9" s="21">
        <v>14564</v>
      </c>
      <c r="BC9" s="21">
        <v>41356</v>
      </c>
      <c r="BD9" s="21">
        <v>55895</v>
      </c>
      <c r="BE9" s="21">
        <v>176622</v>
      </c>
      <c r="BF9" s="21">
        <v>6976</v>
      </c>
      <c r="BG9" s="21">
        <v>23007</v>
      </c>
      <c r="BH9" s="21">
        <v>56216</v>
      </c>
      <c r="BI9" s="21">
        <v>143438</v>
      </c>
      <c r="BJ9" s="21">
        <v>12894</v>
      </c>
      <c r="BK9" s="21">
        <v>41979</v>
      </c>
      <c r="BL9" s="21">
        <v>61872</v>
      </c>
      <c r="BM9" s="21">
        <v>162581</v>
      </c>
      <c r="BN9" s="21">
        <v>41313</v>
      </c>
      <c r="BO9" s="21">
        <v>121079</v>
      </c>
      <c r="BP9" s="21">
        <f t="shared" si="0"/>
        <v>879354</v>
      </c>
      <c r="BQ9" s="21">
        <f t="shared" si="1"/>
        <v>2771730</v>
      </c>
    </row>
    <row r="10" spans="1:69" x14ac:dyDescent="0.25">
      <c r="A10" s="25" t="s">
        <v>268</v>
      </c>
      <c r="B10" s="21">
        <v>542</v>
      </c>
      <c r="C10" s="21">
        <v>920</v>
      </c>
      <c r="D10" s="21">
        <v>14438</v>
      </c>
      <c r="E10" s="21">
        <v>46062</v>
      </c>
      <c r="F10" s="21">
        <v>2805</v>
      </c>
      <c r="G10" s="21">
        <v>6470</v>
      </c>
      <c r="H10" s="21">
        <v>9844</v>
      </c>
      <c r="I10" s="21">
        <v>34178</v>
      </c>
      <c r="J10" s="21">
        <v>59595</v>
      </c>
      <c r="K10" s="21">
        <v>161826</v>
      </c>
      <c r="L10" s="21">
        <v>12870</v>
      </c>
      <c r="M10" s="21">
        <v>25099</v>
      </c>
      <c r="N10" s="21">
        <v>9580</v>
      </c>
      <c r="O10" s="21">
        <v>40802</v>
      </c>
      <c r="P10" s="21">
        <v>7420</v>
      </c>
      <c r="Q10" s="21">
        <v>21826</v>
      </c>
      <c r="R10" s="21">
        <v>245</v>
      </c>
      <c r="S10" s="21">
        <v>3210</v>
      </c>
      <c r="T10" s="21">
        <v>519</v>
      </c>
      <c r="U10" s="21">
        <v>2975</v>
      </c>
      <c r="V10" s="21">
        <v>2833</v>
      </c>
      <c r="W10" s="21">
        <v>10892</v>
      </c>
      <c r="X10" s="21"/>
      <c r="Y10" s="21"/>
      <c r="Z10" s="21">
        <v>2255</v>
      </c>
      <c r="AA10" s="21">
        <v>4298</v>
      </c>
      <c r="AB10" s="21">
        <v>37911</v>
      </c>
      <c r="AC10" s="21">
        <v>109773</v>
      </c>
      <c r="AD10" s="21">
        <v>25413</v>
      </c>
      <c r="AE10" s="21">
        <v>75943</v>
      </c>
      <c r="AF10" s="21">
        <v>18541</v>
      </c>
      <c r="AG10" s="21">
        <v>51834</v>
      </c>
      <c r="AH10" s="21">
        <v>2010</v>
      </c>
      <c r="AI10" s="21">
        <v>5206</v>
      </c>
      <c r="AJ10" s="21">
        <v>6683</v>
      </c>
      <c r="AK10" s="21">
        <v>21520</v>
      </c>
      <c r="AL10" s="21">
        <v>3499</v>
      </c>
      <c r="AM10" s="21">
        <v>7544</v>
      </c>
      <c r="AN10" s="21">
        <v>4568</v>
      </c>
      <c r="AO10" s="21">
        <v>19527</v>
      </c>
      <c r="AP10" s="21">
        <v>61692</v>
      </c>
      <c r="AQ10" s="21">
        <v>156971</v>
      </c>
      <c r="AR10" s="21">
        <v>83971</v>
      </c>
      <c r="AS10" s="21">
        <v>255403</v>
      </c>
      <c r="AT10" s="21">
        <v>42766</v>
      </c>
      <c r="AU10" s="21">
        <v>122892</v>
      </c>
      <c r="AV10" s="21">
        <v>49</v>
      </c>
      <c r="AW10" s="21">
        <v>395</v>
      </c>
      <c r="AX10" s="21">
        <v>18008</v>
      </c>
      <c r="AY10" s="21">
        <v>54039</v>
      </c>
      <c r="AZ10" s="21">
        <v>12867</v>
      </c>
      <c r="BA10" s="21">
        <v>29083</v>
      </c>
      <c r="BB10" s="21">
        <v>8997</v>
      </c>
      <c r="BC10" s="21">
        <v>32503</v>
      </c>
      <c r="BD10" s="21">
        <v>50194</v>
      </c>
      <c r="BE10" s="21">
        <v>116657</v>
      </c>
      <c r="BF10" s="21">
        <v>9166</v>
      </c>
      <c r="BG10" s="21">
        <v>21562</v>
      </c>
      <c r="BH10" s="21">
        <v>48157</v>
      </c>
      <c r="BI10" s="21">
        <v>143239</v>
      </c>
      <c r="BJ10" s="21">
        <v>23638</v>
      </c>
      <c r="BK10" s="21">
        <v>67764</v>
      </c>
      <c r="BL10" s="21">
        <v>44662</v>
      </c>
      <c r="BM10" s="21">
        <v>127925</v>
      </c>
      <c r="BN10" s="21">
        <v>8983</v>
      </c>
      <c r="BO10" s="21">
        <v>23256</v>
      </c>
      <c r="BP10" s="21">
        <f t="shared" si="0"/>
        <v>634721</v>
      </c>
      <c r="BQ10" s="21">
        <f t="shared" si="1"/>
        <v>1801594</v>
      </c>
    </row>
    <row r="11" spans="1:69" x14ac:dyDescent="0.25">
      <c r="A11" s="25" t="s">
        <v>269</v>
      </c>
      <c r="B11" s="21">
        <v>2016</v>
      </c>
      <c r="C11" s="21">
        <v>3849</v>
      </c>
      <c r="D11" s="21">
        <v>9368</v>
      </c>
      <c r="E11" s="21">
        <v>24747</v>
      </c>
      <c r="F11" s="21">
        <v>1992</v>
      </c>
      <c r="G11" s="21">
        <v>5828</v>
      </c>
      <c r="H11" s="21">
        <v>19258</v>
      </c>
      <c r="I11" s="21">
        <v>51015</v>
      </c>
      <c r="J11" s="21">
        <v>65728</v>
      </c>
      <c r="K11" s="21">
        <v>246540</v>
      </c>
      <c r="L11" s="21">
        <v>33759</v>
      </c>
      <c r="M11" s="21">
        <v>111616</v>
      </c>
      <c r="N11" s="21">
        <v>21103</v>
      </c>
      <c r="O11" s="21">
        <v>62901</v>
      </c>
      <c r="P11" s="21">
        <v>12262</v>
      </c>
      <c r="Q11" s="21">
        <v>41583</v>
      </c>
      <c r="R11" s="21">
        <v>2617</v>
      </c>
      <c r="S11" s="21">
        <v>7964</v>
      </c>
      <c r="T11" s="21">
        <v>1944</v>
      </c>
      <c r="U11" s="21">
        <v>3179</v>
      </c>
      <c r="V11" s="21">
        <v>2116</v>
      </c>
      <c r="W11" s="21">
        <v>13187</v>
      </c>
      <c r="X11" s="21"/>
      <c r="Y11" s="21"/>
      <c r="Z11" s="21">
        <v>1642</v>
      </c>
      <c r="AA11" s="21">
        <v>3844</v>
      </c>
      <c r="AB11" s="21">
        <v>15323</v>
      </c>
      <c r="AC11" s="21">
        <v>45958</v>
      </c>
      <c r="AD11" s="21">
        <v>44504</v>
      </c>
      <c r="AE11" s="21">
        <v>283485</v>
      </c>
      <c r="AF11" s="21">
        <v>24379</v>
      </c>
      <c r="AG11" s="21">
        <v>78692</v>
      </c>
      <c r="AH11" s="21">
        <v>2758</v>
      </c>
      <c r="AI11" s="21">
        <v>7458</v>
      </c>
      <c r="AJ11" s="21">
        <v>28909</v>
      </c>
      <c r="AK11" s="21">
        <v>81269</v>
      </c>
      <c r="AL11" s="21">
        <v>4860</v>
      </c>
      <c r="AM11" s="21">
        <v>11182</v>
      </c>
      <c r="AN11" s="21">
        <v>20411</v>
      </c>
      <c r="AO11" s="21">
        <v>67905</v>
      </c>
      <c r="AP11" s="21">
        <v>101862</v>
      </c>
      <c r="AQ11" s="21">
        <v>199633</v>
      </c>
      <c r="AR11" s="21">
        <v>67865</v>
      </c>
      <c r="AS11" s="21">
        <v>197454</v>
      </c>
      <c r="AT11" s="21">
        <v>34050</v>
      </c>
      <c r="AU11" s="21">
        <v>106860</v>
      </c>
      <c r="AV11" s="21">
        <v>789</v>
      </c>
      <c r="AW11" s="21">
        <v>1875</v>
      </c>
      <c r="AX11" s="21">
        <v>33306</v>
      </c>
      <c r="AY11" s="21">
        <v>104321</v>
      </c>
      <c r="AZ11" s="21">
        <v>19241</v>
      </c>
      <c r="BA11" s="21">
        <v>57633</v>
      </c>
      <c r="BB11" s="21">
        <v>25904</v>
      </c>
      <c r="BC11" s="21">
        <v>67550</v>
      </c>
      <c r="BD11" s="21">
        <v>45468</v>
      </c>
      <c r="BE11" s="21">
        <v>123408</v>
      </c>
      <c r="BF11" s="21">
        <v>12643</v>
      </c>
      <c r="BG11" s="21">
        <v>38609</v>
      </c>
      <c r="BH11" s="21">
        <v>42046</v>
      </c>
      <c r="BI11" s="21">
        <v>131762</v>
      </c>
      <c r="BJ11" s="21">
        <v>70376</v>
      </c>
      <c r="BK11" s="21">
        <v>219552</v>
      </c>
      <c r="BL11" s="21">
        <v>77966</v>
      </c>
      <c r="BM11" s="21">
        <v>216740</v>
      </c>
      <c r="BN11" s="21">
        <v>15435</v>
      </c>
      <c r="BO11" s="21">
        <v>40499</v>
      </c>
      <c r="BP11" s="21">
        <f t="shared" si="0"/>
        <v>861900</v>
      </c>
      <c r="BQ11" s="21">
        <f t="shared" si="1"/>
        <v>2658098</v>
      </c>
    </row>
    <row r="12" spans="1:69" x14ac:dyDescent="0.25">
      <c r="A12" s="25" t="s">
        <v>270</v>
      </c>
      <c r="B12" s="21">
        <v>15675</v>
      </c>
      <c r="C12" s="21">
        <v>30340</v>
      </c>
      <c r="D12" s="21">
        <v>18280</v>
      </c>
      <c r="E12" s="21">
        <v>59670</v>
      </c>
      <c r="F12" s="21">
        <v>5220</v>
      </c>
      <c r="G12" s="21">
        <v>15758</v>
      </c>
      <c r="H12" s="21">
        <v>49022</v>
      </c>
      <c r="I12" s="21">
        <v>105194</v>
      </c>
      <c r="J12" s="21">
        <v>48241</v>
      </c>
      <c r="K12" s="21">
        <v>97555</v>
      </c>
      <c r="L12" s="21">
        <v>52783</v>
      </c>
      <c r="M12" s="21">
        <v>162907</v>
      </c>
      <c r="N12" s="21">
        <v>23930</v>
      </c>
      <c r="O12" s="21">
        <v>61158</v>
      </c>
      <c r="P12" s="21">
        <v>53266</v>
      </c>
      <c r="Q12" s="21">
        <v>242376</v>
      </c>
      <c r="R12" s="21">
        <v>29823</v>
      </c>
      <c r="S12" s="21">
        <v>284687</v>
      </c>
      <c r="T12" s="21">
        <v>3880</v>
      </c>
      <c r="U12" s="21">
        <v>6288</v>
      </c>
      <c r="V12" s="21">
        <v>4060</v>
      </c>
      <c r="W12" s="21">
        <v>25112</v>
      </c>
      <c r="X12" s="21"/>
      <c r="Y12" s="21"/>
      <c r="Z12" s="21">
        <v>-2068</v>
      </c>
      <c r="AA12" s="21">
        <v>7541</v>
      </c>
      <c r="AB12" s="21">
        <v>380318</v>
      </c>
      <c r="AC12" s="21">
        <v>1538137</v>
      </c>
      <c r="AD12" s="21">
        <v>536482</v>
      </c>
      <c r="AE12" s="21">
        <v>1127378</v>
      </c>
      <c r="AF12" s="21">
        <v>167383</v>
      </c>
      <c r="AG12" s="21">
        <v>897644</v>
      </c>
      <c r="AH12" s="21">
        <v>13281</v>
      </c>
      <c r="AI12" s="21">
        <v>31845</v>
      </c>
      <c r="AJ12" s="21">
        <v>41118</v>
      </c>
      <c r="AK12" s="21">
        <v>119449</v>
      </c>
      <c r="AL12" s="21">
        <v>19183</v>
      </c>
      <c r="AM12" s="21">
        <v>58265</v>
      </c>
      <c r="AN12" s="21">
        <v>137751</v>
      </c>
      <c r="AO12" s="21">
        <v>415204</v>
      </c>
      <c r="AP12" s="21">
        <v>34758</v>
      </c>
      <c r="AQ12" s="21">
        <v>137918</v>
      </c>
      <c r="AR12" s="21">
        <v>151775</v>
      </c>
      <c r="AS12" s="21">
        <v>528932</v>
      </c>
      <c r="AT12" s="21">
        <v>18339</v>
      </c>
      <c r="AU12" s="21">
        <v>58217</v>
      </c>
      <c r="AV12" s="21">
        <v>8187</v>
      </c>
      <c r="AW12" s="21">
        <v>24789</v>
      </c>
      <c r="AX12" s="21">
        <v>39158</v>
      </c>
      <c r="AY12" s="21">
        <v>132023</v>
      </c>
      <c r="AZ12" s="21">
        <v>158639</v>
      </c>
      <c r="BA12" s="21">
        <v>473370</v>
      </c>
      <c r="BB12" s="21">
        <v>5287</v>
      </c>
      <c r="BC12" s="21">
        <v>20004</v>
      </c>
      <c r="BD12" s="21">
        <v>194290</v>
      </c>
      <c r="BE12" s="21">
        <v>475775</v>
      </c>
      <c r="BF12" s="21">
        <v>45484</v>
      </c>
      <c r="BG12" s="21">
        <v>137538</v>
      </c>
      <c r="BH12" s="21">
        <v>35148</v>
      </c>
      <c r="BI12" s="21">
        <v>110086</v>
      </c>
      <c r="BJ12" s="21">
        <v>606946</v>
      </c>
      <c r="BK12" s="21">
        <v>1668574</v>
      </c>
      <c r="BL12" s="21">
        <v>-26442</v>
      </c>
      <c r="BM12" s="21">
        <v>98898</v>
      </c>
      <c r="BN12" s="21">
        <v>26246</v>
      </c>
      <c r="BO12" s="21">
        <v>59867</v>
      </c>
      <c r="BP12" s="21">
        <f t="shared" si="0"/>
        <v>2895443</v>
      </c>
      <c r="BQ12" s="21">
        <f t="shared" si="1"/>
        <v>9212499</v>
      </c>
    </row>
    <row r="13" spans="1:69" x14ac:dyDescent="0.25">
      <c r="A13" s="25" t="s">
        <v>271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>
        <v>15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>
        <f t="shared" si="0"/>
        <v>0</v>
      </c>
      <c r="BQ13" s="21">
        <f t="shared" si="1"/>
        <v>15</v>
      </c>
    </row>
    <row r="14" spans="1:69" x14ac:dyDescent="0.25">
      <c r="A14" s="25" t="s">
        <v>74</v>
      </c>
      <c r="B14" s="21">
        <v>42</v>
      </c>
      <c r="C14" s="21">
        <v>442</v>
      </c>
      <c r="D14" s="21">
        <v>310</v>
      </c>
      <c r="E14" s="21">
        <v>1160</v>
      </c>
      <c r="F14" s="21">
        <v>492</v>
      </c>
      <c r="G14" s="21">
        <v>2443</v>
      </c>
      <c r="H14" s="21">
        <v>451</v>
      </c>
      <c r="I14" s="21">
        <v>1551</v>
      </c>
      <c r="J14" s="21">
        <v>1900</v>
      </c>
      <c r="K14" s="21">
        <v>5700</v>
      </c>
      <c r="L14" s="21">
        <v>1250</v>
      </c>
      <c r="M14" s="21">
        <v>3825</v>
      </c>
      <c r="N14" s="21">
        <v>620</v>
      </c>
      <c r="O14" s="21">
        <v>2355</v>
      </c>
      <c r="P14" s="21">
        <v>438</v>
      </c>
      <c r="Q14" s="21">
        <v>1360</v>
      </c>
      <c r="R14" s="21">
        <v>500</v>
      </c>
      <c r="S14" s="21">
        <v>1500</v>
      </c>
      <c r="T14" s="21">
        <v>451</v>
      </c>
      <c r="U14" s="21">
        <v>790</v>
      </c>
      <c r="V14" s="21"/>
      <c r="W14" s="21">
        <v>184</v>
      </c>
      <c r="X14" s="21"/>
      <c r="Y14" s="21"/>
      <c r="Z14" s="21">
        <v>395</v>
      </c>
      <c r="AA14" s="21">
        <v>1395</v>
      </c>
      <c r="AB14" s="21">
        <v>1917</v>
      </c>
      <c r="AC14" s="21">
        <v>5753</v>
      </c>
      <c r="AD14" s="21">
        <v>5005</v>
      </c>
      <c r="AE14" s="21">
        <v>17746</v>
      </c>
      <c r="AF14" s="21">
        <v>725</v>
      </c>
      <c r="AG14" s="21">
        <v>2175</v>
      </c>
      <c r="AH14" s="21">
        <v>601</v>
      </c>
      <c r="AI14" s="21">
        <v>1600</v>
      </c>
      <c r="AJ14" s="21">
        <v>700</v>
      </c>
      <c r="AK14" s="21">
        <v>2500</v>
      </c>
      <c r="AL14" s="21">
        <v>1409</v>
      </c>
      <c r="AM14" s="21">
        <v>3548</v>
      </c>
      <c r="AN14" s="21">
        <v>813</v>
      </c>
      <c r="AO14" s="21">
        <v>2455</v>
      </c>
      <c r="AP14" s="21">
        <v>661</v>
      </c>
      <c r="AQ14" s="21">
        <v>4909</v>
      </c>
      <c r="AR14" s="21">
        <v>34421</v>
      </c>
      <c r="AS14" s="21">
        <v>103346</v>
      </c>
      <c r="AT14" s="21">
        <v>7463</v>
      </c>
      <c r="AU14" s="21">
        <v>13910</v>
      </c>
      <c r="AV14" s="21">
        <v>-10</v>
      </c>
      <c r="AW14" s="21">
        <v>77</v>
      </c>
      <c r="AX14" s="21">
        <v>1161</v>
      </c>
      <c r="AY14" s="21">
        <v>3781</v>
      </c>
      <c r="AZ14" s="21">
        <v>550</v>
      </c>
      <c r="BA14" s="21">
        <v>1650</v>
      </c>
      <c r="BB14" s="21">
        <v>750</v>
      </c>
      <c r="BC14" s="21">
        <v>2250</v>
      </c>
      <c r="BD14" s="21">
        <v>1327</v>
      </c>
      <c r="BE14" s="21">
        <v>5438</v>
      </c>
      <c r="BF14" s="21">
        <v>263</v>
      </c>
      <c r="BG14" s="21">
        <v>938</v>
      </c>
      <c r="BH14" s="21"/>
      <c r="BI14" s="21">
        <v>1200</v>
      </c>
      <c r="BJ14" s="21">
        <v>2251</v>
      </c>
      <c r="BK14" s="21">
        <v>6095</v>
      </c>
      <c r="BL14" s="21">
        <v>699</v>
      </c>
      <c r="BM14" s="21">
        <v>4440</v>
      </c>
      <c r="BN14" s="21">
        <v>1119</v>
      </c>
      <c r="BO14" s="21">
        <v>2369</v>
      </c>
      <c r="BP14" s="21">
        <f t="shared" si="0"/>
        <v>68674</v>
      </c>
      <c r="BQ14" s="21">
        <f t="shared" si="1"/>
        <v>208885</v>
      </c>
    </row>
    <row r="15" spans="1:69" ht="15" customHeight="1" x14ac:dyDescent="0.25">
      <c r="A15" s="25" t="s">
        <v>75</v>
      </c>
      <c r="B15" s="21"/>
      <c r="C15" s="21"/>
      <c r="D15" s="21"/>
      <c r="E15" s="21"/>
      <c r="F15" s="21"/>
      <c r="G15" s="21"/>
      <c r="H15" s="21"/>
      <c r="I15" s="21"/>
      <c r="J15" s="21">
        <v>226</v>
      </c>
      <c r="K15" s="21">
        <v>676</v>
      </c>
      <c r="L15" s="21">
        <v>101</v>
      </c>
      <c r="M15" s="21">
        <v>751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>
        <f t="shared" si="0"/>
        <v>327</v>
      </c>
      <c r="BQ15" s="21">
        <f t="shared" si="1"/>
        <v>1427</v>
      </c>
    </row>
    <row r="16" spans="1:69" x14ac:dyDescent="0.25">
      <c r="A16" s="25" t="s">
        <v>76</v>
      </c>
      <c r="B16" s="21"/>
      <c r="C16" s="21"/>
      <c r="D16" s="21"/>
      <c r="E16" s="21"/>
      <c r="F16" s="21"/>
      <c r="G16" s="21"/>
      <c r="H16" s="21">
        <v>-100</v>
      </c>
      <c r="I16" s="21"/>
      <c r="J16" s="21"/>
      <c r="K16" s="21"/>
      <c r="L16" s="21">
        <v>64</v>
      </c>
      <c r="M16" s="21">
        <v>189</v>
      </c>
      <c r="N16" s="21">
        <v>518</v>
      </c>
      <c r="O16" s="21">
        <v>1212</v>
      </c>
      <c r="P16" s="21"/>
      <c r="Q16" s="21"/>
      <c r="R16" s="21">
        <v>50</v>
      </c>
      <c r="S16" s="21">
        <v>150</v>
      </c>
      <c r="T16" s="21"/>
      <c r="U16" s="21"/>
      <c r="V16" s="21">
        <v>-16.25</v>
      </c>
      <c r="W16" s="21"/>
      <c r="X16" s="21"/>
      <c r="Y16" s="21"/>
      <c r="Z16" s="21">
        <v>50</v>
      </c>
      <c r="AA16" s="21">
        <v>50</v>
      </c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>
        <v>200</v>
      </c>
      <c r="AM16" s="21">
        <v>200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>
        <v>75</v>
      </c>
      <c r="BC16" s="21">
        <v>225</v>
      </c>
      <c r="BD16" s="21"/>
      <c r="BE16" s="21"/>
      <c r="BF16" s="21">
        <v>8</v>
      </c>
      <c r="BG16" s="21">
        <v>23</v>
      </c>
      <c r="BH16" s="21"/>
      <c r="BI16" s="21"/>
      <c r="BJ16" s="21"/>
      <c r="BK16" s="21"/>
      <c r="BL16" s="21"/>
      <c r="BM16" s="21"/>
      <c r="BN16" s="21"/>
      <c r="BO16" s="21"/>
      <c r="BP16" s="21">
        <f t="shared" si="0"/>
        <v>848.75</v>
      </c>
      <c r="BQ16" s="21">
        <f t="shared" si="1"/>
        <v>2049</v>
      </c>
    </row>
    <row r="17" spans="1:73" x14ac:dyDescent="0.25">
      <c r="A17" s="25" t="s">
        <v>77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>
        <v>47</v>
      </c>
      <c r="AU17" s="21">
        <v>253</v>
      </c>
      <c r="AV17" s="21">
        <v>-3</v>
      </c>
      <c r="AW17" s="21">
        <v>23</v>
      </c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>
        <f t="shared" si="0"/>
        <v>44</v>
      </c>
      <c r="BQ17" s="21">
        <f t="shared" si="1"/>
        <v>276</v>
      </c>
    </row>
    <row r="18" spans="1:73" x14ac:dyDescent="0.25">
      <c r="A18" s="25" t="s">
        <v>305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>
        <v>11</v>
      </c>
      <c r="AU18" s="21">
        <v>11</v>
      </c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>
        <f t="shared" si="0"/>
        <v>11</v>
      </c>
      <c r="BQ18" s="21">
        <f t="shared" si="1"/>
        <v>11</v>
      </c>
    </row>
    <row r="19" spans="1:73" x14ac:dyDescent="0.25">
      <c r="A19" s="25" t="s">
        <v>78</v>
      </c>
      <c r="B19" s="21"/>
      <c r="C19" s="21"/>
      <c r="D19" s="21"/>
      <c r="E19" s="21"/>
      <c r="F19" s="21"/>
      <c r="G19" s="21"/>
      <c r="H19" s="21"/>
      <c r="I19" s="21"/>
      <c r="J19" s="21">
        <v>-424</v>
      </c>
      <c r="K19" s="21">
        <v>177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>
        <v>-810</v>
      </c>
      <c r="W19" s="21">
        <v>3050</v>
      </c>
      <c r="X19" s="21"/>
      <c r="Y19" s="21"/>
      <c r="Z19" s="21"/>
      <c r="AA19" s="21"/>
      <c r="AB19" s="21">
        <v>667</v>
      </c>
      <c r="AC19" s="21">
        <v>2021</v>
      </c>
      <c r="AD19" s="21">
        <v>82</v>
      </c>
      <c r="AE19" s="21">
        <v>473</v>
      </c>
      <c r="AF19" s="21">
        <v>175</v>
      </c>
      <c r="AG19" s="21">
        <v>525</v>
      </c>
      <c r="AH19" s="21">
        <v>14</v>
      </c>
      <c r="AI19" s="21">
        <v>41</v>
      </c>
      <c r="AJ19" s="21">
        <v>24</v>
      </c>
      <c r="AK19" s="21">
        <v>85</v>
      </c>
      <c r="AL19" s="21">
        <v>1308</v>
      </c>
      <c r="AM19" s="21">
        <v>1308</v>
      </c>
      <c r="AN19" s="21">
        <v>38</v>
      </c>
      <c r="AO19" s="21">
        <v>113</v>
      </c>
      <c r="AP19" s="21"/>
      <c r="AQ19" s="21"/>
      <c r="AR19" s="21"/>
      <c r="AS19" s="21"/>
      <c r="AT19" s="21">
        <v>-53</v>
      </c>
      <c r="AU19" s="21">
        <v>202</v>
      </c>
      <c r="AV19" s="21">
        <v>-1</v>
      </c>
      <c r="AW19" s="21">
        <v>7</v>
      </c>
      <c r="AX19" s="21"/>
      <c r="AY19" s="21"/>
      <c r="AZ19" s="21"/>
      <c r="BA19" s="21"/>
      <c r="BB19" s="21">
        <v>-2</v>
      </c>
      <c r="BC19" s="21">
        <v>248</v>
      </c>
      <c r="BD19" s="21">
        <v>157</v>
      </c>
      <c r="BE19" s="21">
        <v>893</v>
      </c>
      <c r="BF19" s="21">
        <v>90</v>
      </c>
      <c r="BG19" s="21">
        <v>110</v>
      </c>
      <c r="BH19" s="21">
        <v>90</v>
      </c>
      <c r="BI19" s="21">
        <v>240</v>
      </c>
      <c r="BJ19" s="21"/>
      <c r="BK19" s="21"/>
      <c r="BL19" s="21">
        <v>364</v>
      </c>
      <c r="BM19" s="21">
        <v>2322</v>
      </c>
      <c r="BN19" s="21">
        <v>1675</v>
      </c>
      <c r="BO19" s="21">
        <v>1975</v>
      </c>
      <c r="BP19" s="21">
        <f t="shared" si="0"/>
        <v>3394</v>
      </c>
      <c r="BQ19" s="21">
        <f t="shared" si="1"/>
        <v>13790</v>
      </c>
    </row>
    <row r="20" spans="1:73" x14ac:dyDescent="0.25">
      <c r="A20" s="25" t="s">
        <v>283</v>
      </c>
      <c r="B20" s="21"/>
      <c r="C20" s="21"/>
      <c r="D20" s="21">
        <v>56</v>
      </c>
      <c r="E20" s="21">
        <v>239</v>
      </c>
      <c r="F20" s="21"/>
      <c r="G20" s="21"/>
      <c r="H20" s="21"/>
      <c r="I20" s="21">
        <v>99</v>
      </c>
      <c r="J20" s="21">
        <v>119</v>
      </c>
      <c r="K20" s="21">
        <v>535</v>
      </c>
      <c r="L20" s="21">
        <v>32</v>
      </c>
      <c r="M20" s="21">
        <v>390</v>
      </c>
      <c r="N20" s="21">
        <v>15</v>
      </c>
      <c r="O20" s="21">
        <v>39</v>
      </c>
      <c r="P20" s="21">
        <v>0</v>
      </c>
      <c r="Q20" s="21">
        <v>97</v>
      </c>
      <c r="R20" s="21">
        <v>19</v>
      </c>
      <c r="S20" s="21">
        <v>43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>
        <v>3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>
        <v>33</v>
      </c>
      <c r="BC20" s="21">
        <v>115</v>
      </c>
      <c r="BD20" s="21"/>
      <c r="BE20" s="21"/>
      <c r="BF20" s="21">
        <v>180</v>
      </c>
      <c r="BG20" s="21">
        <v>507</v>
      </c>
      <c r="BH20" s="21">
        <v>82</v>
      </c>
      <c r="BI20" s="21">
        <v>438</v>
      </c>
      <c r="BJ20" s="21"/>
      <c r="BK20" s="21"/>
      <c r="BL20" s="21"/>
      <c r="BM20" s="21"/>
      <c r="BN20" s="21">
        <v>96</v>
      </c>
      <c r="BO20" s="21">
        <v>578</v>
      </c>
      <c r="BP20" s="21">
        <f t="shared" si="0"/>
        <v>635</v>
      </c>
      <c r="BQ20" s="21">
        <f t="shared" si="1"/>
        <v>3080</v>
      </c>
    </row>
    <row r="21" spans="1:73" x14ac:dyDescent="0.25">
      <c r="A21" s="25" t="s">
        <v>272</v>
      </c>
      <c r="B21" s="21">
        <v>8795</v>
      </c>
      <c r="C21" s="21">
        <v>18334</v>
      </c>
      <c r="D21" s="21">
        <v>167917</v>
      </c>
      <c r="E21" s="21">
        <v>494816</v>
      </c>
      <c r="F21" s="21">
        <v>13044</v>
      </c>
      <c r="G21" s="21">
        <v>27794</v>
      </c>
      <c r="H21" s="21">
        <v>552946</v>
      </c>
      <c r="I21" s="21">
        <v>820965</v>
      </c>
      <c r="J21" s="21">
        <v>170841</v>
      </c>
      <c r="K21" s="21">
        <v>398467</v>
      </c>
      <c r="L21" s="21">
        <v>427787</v>
      </c>
      <c r="M21" s="21">
        <v>988139</v>
      </c>
      <c r="N21" s="21">
        <v>595355</v>
      </c>
      <c r="O21" s="21">
        <v>1721902</v>
      </c>
      <c r="P21" s="21">
        <v>106139</v>
      </c>
      <c r="Q21" s="21">
        <v>230128</v>
      </c>
      <c r="R21" s="21">
        <v>86045</v>
      </c>
      <c r="S21" s="21">
        <v>153878</v>
      </c>
      <c r="T21" s="21">
        <v>1778</v>
      </c>
      <c r="U21" s="21">
        <v>15479</v>
      </c>
      <c r="V21" s="21">
        <v>23380</v>
      </c>
      <c r="W21" s="21">
        <v>49820</v>
      </c>
      <c r="X21" s="21"/>
      <c r="Y21" s="21"/>
      <c r="Z21" s="21">
        <v>564250</v>
      </c>
      <c r="AA21" s="21">
        <v>1275296</v>
      </c>
      <c r="AB21" s="21">
        <v>642827</v>
      </c>
      <c r="AC21" s="21">
        <v>1762772</v>
      </c>
      <c r="AD21" s="21">
        <v>379135</v>
      </c>
      <c r="AE21" s="21">
        <v>1185991</v>
      </c>
      <c r="AF21" s="21">
        <v>60652</v>
      </c>
      <c r="AG21" s="21">
        <v>154552</v>
      </c>
      <c r="AH21" s="21">
        <v>40661</v>
      </c>
      <c r="AI21" s="21">
        <v>65063</v>
      </c>
      <c r="AJ21" s="21">
        <v>233267</v>
      </c>
      <c r="AK21" s="21">
        <v>350102</v>
      </c>
      <c r="AL21" s="21">
        <v>286957</v>
      </c>
      <c r="AM21" s="21">
        <v>563919</v>
      </c>
      <c r="AN21" s="21">
        <v>79832</v>
      </c>
      <c r="AO21" s="21">
        <v>263591</v>
      </c>
      <c r="AP21" s="21">
        <v>86308</v>
      </c>
      <c r="AQ21" s="21">
        <v>94733</v>
      </c>
      <c r="AR21" s="21">
        <v>153587</v>
      </c>
      <c r="AS21" s="21">
        <v>477238</v>
      </c>
      <c r="AT21" s="21">
        <v>-18001</v>
      </c>
      <c r="AU21" s="21">
        <v>114057</v>
      </c>
      <c r="AV21" s="21">
        <v>36438</v>
      </c>
      <c r="AW21" s="21">
        <v>84711</v>
      </c>
      <c r="AX21" s="21">
        <v>888639</v>
      </c>
      <c r="AY21" s="21">
        <v>2192351</v>
      </c>
      <c r="AZ21" s="21">
        <v>202727</v>
      </c>
      <c r="BA21" s="21">
        <v>617302</v>
      </c>
      <c r="BB21" s="21">
        <v>83489</v>
      </c>
      <c r="BC21" s="21">
        <v>234642</v>
      </c>
      <c r="BD21" s="21">
        <v>68</v>
      </c>
      <c r="BE21" s="21">
        <v>121309</v>
      </c>
      <c r="BF21" s="21">
        <v>341</v>
      </c>
      <c r="BG21" s="21">
        <v>972</v>
      </c>
      <c r="BH21" s="21">
        <v>181959</v>
      </c>
      <c r="BI21" s="21">
        <v>756435</v>
      </c>
      <c r="BJ21" s="21">
        <v>867334</v>
      </c>
      <c r="BK21" s="21">
        <v>2296467</v>
      </c>
      <c r="BL21" s="21">
        <v>75589</v>
      </c>
      <c r="BM21" s="21">
        <v>258139</v>
      </c>
      <c r="BN21" s="21">
        <v>64520</v>
      </c>
      <c r="BO21" s="21">
        <v>210245</v>
      </c>
      <c r="BP21" s="21">
        <f t="shared" si="0"/>
        <v>7064606</v>
      </c>
      <c r="BQ21" s="21">
        <f t="shared" si="1"/>
        <v>17999609</v>
      </c>
    </row>
    <row r="22" spans="1:73" x14ac:dyDescent="0.25">
      <c r="A22" s="25" t="s">
        <v>273</v>
      </c>
      <c r="B22" s="21">
        <v>2079</v>
      </c>
      <c r="C22" s="21">
        <v>2538</v>
      </c>
      <c r="D22" s="21">
        <v>1670</v>
      </c>
      <c r="E22" s="21">
        <v>4598</v>
      </c>
      <c r="F22" s="21">
        <v>18</v>
      </c>
      <c r="G22" s="21">
        <v>536</v>
      </c>
      <c r="H22" s="21">
        <v>10255</v>
      </c>
      <c r="I22" s="21">
        <v>29284</v>
      </c>
      <c r="J22" s="21">
        <v>45861</v>
      </c>
      <c r="K22" s="21">
        <v>125877</v>
      </c>
      <c r="L22" s="21">
        <v>15489</v>
      </c>
      <c r="M22" s="21">
        <v>50215</v>
      </c>
      <c r="N22" s="21">
        <v>20466</v>
      </c>
      <c r="O22" s="21">
        <v>72628</v>
      </c>
      <c r="P22" s="21">
        <v>4769</v>
      </c>
      <c r="Q22" s="21">
        <v>11835</v>
      </c>
      <c r="R22" s="21">
        <v>321</v>
      </c>
      <c r="S22" s="21">
        <v>379</v>
      </c>
      <c r="T22" s="21">
        <v>33</v>
      </c>
      <c r="U22" s="21">
        <v>59</v>
      </c>
      <c r="V22" s="21">
        <v>162</v>
      </c>
      <c r="W22" s="21">
        <v>464</v>
      </c>
      <c r="X22" s="21"/>
      <c r="Y22" s="21"/>
      <c r="Z22" s="21"/>
      <c r="AA22" s="21"/>
      <c r="AB22" s="21">
        <v>84497</v>
      </c>
      <c r="AC22" s="21">
        <v>260602</v>
      </c>
      <c r="AD22" s="21">
        <v>87370</v>
      </c>
      <c r="AE22" s="21">
        <v>203816</v>
      </c>
      <c r="AF22" s="21">
        <v>19235</v>
      </c>
      <c r="AG22" s="21">
        <v>69158</v>
      </c>
      <c r="AH22" s="21">
        <v>3713</v>
      </c>
      <c r="AI22" s="21">
        <v>5837</v>
      </c>
      <c r="AJ22" s="21">
        <v>1874</v>
      </c>
      <c r="AK22" s="21">
        <v>4917</v>
      </c>
      <c r="AL22" s="21">
        <v>6954</v>
      </c>
      <c r="AM22" s="21">
        <v>15515</v>
      </c>
      <c r="AN22" s="21">
        <v>8038</v>
      </c>
      <c r="AO22" s="21">
        <v>23142</v>
      </c>
      <c r="AP22" s="21">
        <v>2035</v>
      </c>
      <c r="AQ22" s="21">
        <v>91387</v>
      </c>
      <c r="AR22" s="21">
        <v>24119</v>
      </c>
      <c r="AS22" s="21">
        <v>66543</v>
      </c>
      <c r="AT22" s="21">
        <v>12905</v>
      </c>
      <c r="AU22" s="21">
        <v>35033</v>
      </c>
      <c r="AV22" s="21">
        <v>575</v>
      </c>
      <c r="AW22" s="21">
        <v>2142</v>
      </c>
      <c r="AX22" s="21">
        <v>20848</v>
      </c>
      <c r="AY22" s="21">
        <v>54255</v>
      </c>
      <c r="AZ22" s="21">
        <v>7539</v>
      </c>
      <c r="BA22" s="21">
        <v>21080</v>
      </c>
      <c r="BB22" s="21">
        <v>15484</v>
      </c>
      <c r="BC22" s="21">
        <v>35390</v>
      </c>
      <c r="BD22" s="21">
        <v>2743</v>
      </c>
      <c r="BE22" s="21">
        <v>7684</v>
      </c>
      <c r="BF22" s="21">
        <v>3181</v>
      </c>
      <c r="BG22" s="21">
        <v>9914</v>
      </c>
      <c r="BH22" s="21">
        <v>26142</v>
      </c>
      <c r="BI22" s="21">
        <v>65682</v>
      </c>
      <c r="BJ22" s="21">
        <v>29800</v>
      </c>
      <c r="BK22" s="21">
        <v>82988</v>
      </c>
      <c r="BL22" s="21">
        <v>52877</v>
      </c>
      <c r="BM22" s="21">
        <v>138664</v>
      </c>
      <c r="BN22" s="46">
        <v>3909</v>
      </c>
      <c r="BO22" s="46">
        <v>8185</v>
      </c>
      <c r="BP22" s="21">
        <f t="shared" si="0"/>
        <v>514961</v>
      </c>
      <c r="BQ22" s="21">
        <f t="shared" si="1"/>
        <v>1500347</v>
      </c>
    </row>
    <row r="23" spans="1:73" x14ac:dyDescent="0.25">
      <c r="A23" s="47" t="s">
        <v>187</v>
      </c>
      <c r="B23" s="21">
        <v>407927</v>
      </c>
      <c r="C23" s="21">
        <v>683483</v>
      </c>
      <c r="D23" s="21">
        <v>96685</v>
      </c>
      <c r="E23" s="21">
        <v>324968</v>
      </c>
      <c r="F23" s="21">
        <f>48730+31177+11079+213168</f>
        <v>304154</v>
      </c>
      <c r="G23" s="21">
        <f>383886+84488+43183+608+261332</f>
        <v>773497</v>
      </c>
      <c r="H23" s="21">
        <v>164946</v>
      </c>
      <c r="I23" s="21">
        <v>436006</v>
      </c>
      <c r="J23" s="21">
        <v>1479619</v>
      </c>
      <c r="K23" s="21">
        <v>4072826</v>
      </c>
      <c r="L23" s="21">
        <v>167404</v>
      </c>
      <c r="M23" s="21">
        <v>514260</v>
      </c>
      <c r="N23" s="21">
        <v>1648888</v>
      </c>
      <c r="O23" s="21">
        <v>3595997</v>
      </c>
      <c r="P23" s="21">
        <v>117850</v>
      </c>
      <c r="Q23" s="21">
        <v>339074</v>
      </c>
      <c r="R23" s="21">
        <f>R26-R25-R24-R22-R21-R20-R16-R14-R12-R11-R10-R9-R8-R7-R6-R5</f>
        <v>11669</v>
      </c>
      <c r="S23" s="21">
        <f>S26-S25-S24-S22-S21-S20-S16-S14-S12-S11-S10-S9-S8-S7-S6-S5</f>
        <v>36309</v>
      </c>
      <c r="T23" s="21">
        <v>37653</v>
      </c>
      <c r="U23" s="21">
        <v>85339</v>
      </c>
      <c r="V23" s="21">
        <v>142976</v>
      </c>
      <c r="W23" s="21">
        <v>251357</v>
      </c>
      <c r="X23" s="21"/>
      <c r="Y23" s="21"/>
      <c r="Z23" s="21">
        <f>Z26-Z25-Z24-Z21-Z16-Z14-Z12-Z11-Z10-Z8-Z7-Z6-Z5</f>
        <v>208765</v>
      </c>
      <c r="AA23" s="21">
        <f>AA26-AA25-AA24-AA21-AA16-AA14-AA13-AA12-AA11-AA10-AA8-AA7-AA6-AA5</f>
        <v>465194</v>
      </c>
      <c r="AB23" s="21">
        <v>260079</v>
      </c>
      <c r="AC23" s="21">
        <v>691954</v>
      </c>
      <c r="AD23" s="21">
        <f>AD26-AD24-AD22-AD21-AD19-AD14-AD12-AD11-AD10-AD9-AD8-AD7-AD6-AD5</f>
        <v>2032247</v>
      </c>
      <c r="AE23" s="21">
        <f>AE26-AE24-AE22-AE21-AE19-AE14-AE12-AE11-AE10-AE9-AE8-AE7-AE6-AE5</f>
        <v>4710886</v>
      </c>
      <c r="AF23" s="21">
        <v>108332</v>
      </c>
      <c r="AG23" s="21">
        <v>301729</v>
      </c>
      <c r="AH23" s="21">
        <f>AH26-AH24-AH22-AH21-AH20-AH14-AH12-AH11-AH10-AH9-AH8-AH7-AH6-AH5</f>
        <v>37350</v>
      </c>
      <c r="AI23" s="21">
        <f>AI26-AI24-AI22-AI21-AI19-AI14-AI12-AI11-AI10-AI9-AI8-AI7-AI6-AI5</f>
        <v>92202</v>
      </c>
      <c r="AJ23" s="21">
        <v>163186</v>
      </c>
      <c r="AK23" s="21">
        <v>487173</v>
      </c>
      <c r="AL23" s="21">
        <v>94498</v>
      </c>
      <c r="AM23" s="21">
        <f>AM26-AM24-AM22-AM21-AM19-AM16-AM14-AM12-AM11-AM10-AM9-AM8-AM6-AM5</f>
        <v>261022</v>
      </c>
      <c r="AN23" s="21">
        <f>AN26-AN25-AN24-AN22-AN21-AN19-AN14-AN12-AN11-AN10-AN9-AN8-AN7-AN6-AN5</f>
        <v>22498</v>
      </c>
      <c r="AO23" s="21">
        <f>AO26-AO25-AO24-AO22-AO21-AO19-AO14-AO12-AO11-AO10-AO9-AO8-AO7-AO6-AO5</f>
        <v>43497</v>
      </c>
      <c r="AP23" s="21">
        <v>633704</v>
      </c>
      <c r="AQ23" s="21">
        <v>1957125</v>
      </c>
      <c r="AR23" s="21">
        <v>882097</v>
      </c>
      <c r="AS23" s="21">
        <v>3190060</v>
      </c>
      <c r="AT23" s="21">
        <v>620239</v>
      </c>
      <c r="AU23" s="21">
        <v>1690897</v>
      </c>
      <c r="AV23" s="21">
        <v>3944</v>
      </c>
      <c r="AW23" s="21">
        <v>22279</v>
      </c>
      <c r="AX23" s="21">
        <f>AX26-AX25-AX24-AX22-AX21-AX14-AX12-AX11-AX10-AX9-AX8-AX6-AX5</f>
        <v>310318</v>
      </c>
      <c r="AY23" s="21">
        <f>AY26-AY25-AY24-AY22-AY21-AY14-AY12-AY11-AY10-AY9-AY8-AY6-AY5</f>
        <v>865078</v>
      </c>
      <c r="AZ23" s="21">
        <v>34372</v>
      </c>
      <c r="BA23" s="21">
        <v>91292</v>
      </c>
      <c r="BB23" s="21">
        <v>451142</v>
      </c>
      <c r="BC23" s="21">
        <v>1404590</v>
      </c>
      <c r="BD23" s="21">
        <v>254622</v>
      </c>
      <c r="BE23" s="21">
        <v>562547</v>
      </c>
      <c r="BF23" s="21">
        <v>342316</v>
      </c>
      <c r="BG23" s="21">
        <v>927704</v>
      </c>
      <c r="BH23" s="21">
        <f>BH26-BH24-BH22-BH21-BH20-BH19-BH12-BH11-BH10-BH9-BH8-BH7-BH6-BH5-BH14</f>
        <v>-278351</v>
      </c>
      <c r="BI23" s="21">
        <f>BI26-BI24-BI22-BI21-BI20-BI19-BI12-BI11-BI10-BI9-BI8-BI7-BI6-BI5-BI14</f>
        <v>-695843</v>
      </c>
      <c r="BJ23" s="21">
        <v>842947</v>
      </c>
      <c r="BK23" s="21">
        <v>1480004</v>
      </c>
      <c r="BL23" s="21">
        <v>890009</v>
      </c>
      <c r="BM23" s="21">
        <v>2169140</v>
      </c>
      <c r="BN23" s="21">
        <v>229256</v>
      </c>
      <c r="BO23" s="21">
        <v>469957</v>
      </c>
      <c r="BP23" s="21">
        <f t="shared" si="0"/>
        <v>12723341</v>
      </c>
      <c r="BQ23" s="21">
        <f t="shared" si="1"/>
        <v>32301603</v>
      </c>
    </row>
    <row r="24" spans="1:73" x14ac:dyDescent="0.25">
      <c r="A24" s="25" t="s">
        <v>79</v>
      </c>
      <c r="B24" s="21">
        <v>1613</v>
      </c>
      <c r="C24" s="21">
        <v>4006</v>
      </c>
      <c r="D24" s="21">
        <v>35924</v>
      </c>
      <c r="E24" s="21">
        <v>89656</v>
      </c>
      <c r="F24" s="21">
        <v>38088</v>
      </c>
      <c r="G24" s="21">
        <v>113915</v>
      </c>
      <c r="H24" s="21">
        <v>33350</v>
      </c>
      <c r="I24" s="21">
        <v>96921</v>
      </c>
      <c r="J24" s="21">
        <v>102996</v>
      </c>
      <c r="K24" s="21">
        <v>278214</v>
      </c>
      <c r="L24" s="21">
        <v>22468</v>
      </c>
      <c r="M24" s="21">
        <v>65984</v>
      </c>
      <c r="N24" s="21">
        <v>50231</v>
      </c>
      <c r="O24" s="21">
        <v>147305</v>
      </c>
      <c r="P24" s="21">
        <v>36706</v>
      </c>
      <c r="Q24" s="21">
        <v>66812</v>
      </c>
      <c r="R24" s="21">
        <v>38352</v>
      </c>
      <c r="S24" s="21">
        <v>103138</v>
      </c>
      <c r="T24" s="21">
        <v>6486</v>
      </c>
      <c r="U24" s="21">
        <v>17966</v>
      </c>
      <c r="V24" s="21">
        <v>11072</v>
      </c>
      <c r="W24" s="21">
        <v>31507</v>
      </c>
      <c r="X24" s="21"/>
      <c r="Y24" s="21"/>
      <c r="Z24" s="21">
        <v>8111</v>
      </c>
      <c r="AA24" s="21">
        <v>19668</v>
      </c>
      <c r="AB24" s="21">
        <v>88369</v>
      </c>
      <c r="AC24" s="21">
        <v>255969</v>
      </c>
      <c r="AD24" s="21">
        <v>153793</v>
      </c>
      <c r="AE24" s="21">
        <v>448603</v>
      </c>
      <c r="AF24" s="21">
        <v>39785</v>
      </c>
      <c r="AG24" s="21">
        <v>117975</v>
      </c>
      <c r="AH24" s="21">
        <v>38394</v>
      </c>
      <c r="AI24" s="21">
        <v>92902</v>
      </c>
      <c r="AJ24" s="21">
        <v>38900</v>
      </c>
      <c r="AK24" s="21">
        <v>116472</v>
      </c>
      <c r="AL24" s="21">
        <v>15173</v>
      </c>
      <c r="AM24" s="21">
        <v>38371</v>
      </c>
      <c r="AN24" s="21">
        <v>41103</v>
      </c>
      <c r="AO24" s="21">
        <v>123313</v>
      </c>
      <c r="AP24" s="21">
        <v>220092</v>
      </c>
      <c r="AQ24" s="21">
        <v>629330</v>
      </c>
      <c r="AR24" s="21">
        <v>252004</v>
      </c>
      <c r="AS24" s="21">
        <v>664289</v>
      </c>
      <c r="AT24" s="21">
        <v>87979</v>
      </c>
      <c r="AU24" s="21">
        <v>404811</v>
      </c>
      <c r="AV24" s="21">
        <v>2210</v>
      </c>
      <c r="AW24" s="21">
        <v>6564</v>
      </c>
      <c r="AX24" s="21">
        <v>37026</v>
      </c>
      <c r="AY24" s="21">
        <v>112174</v>
      </c>
      <c r="AZ24" s="21">
        <v>37841</v>
      </c>
      <c r="BA24" s="21">
        <v>121029</v>
      </c>
      <c r="BB24" s="21">
        <v>30177</v>
      </c>
      <c r="BC24" s="21">
        <v>86176</v>
      </c>
      <c r="BD24" s="21">
        <v>91304</v>
      </c>
      <c r="BE24" s="21">
        <v>330765</v>
      </c>
      <c r="BF24" s="21">
        <v>11039</v>
      </c>
      <c r="BG24" s="21">
        <v>33454</v>
      </c>
      <c r="BH24" s="21">
        <v>64771</v>
      </c>
      <c r="BI24" s="21">
        <v>190226</v>
      </c>
      <c r="BJ24" s="21">
        <v>93728</v>
      </c>
      <c r="BK24" s="21">
        <v>232364</v>
      </c>
      <c r="BL24" s="21">
        <v>116436</v>
      </c>
      <c r="BM24" s="21">
        <v>357627</v>
      </c>
      <c r="BN24" s="21">
        <v>28706</v>
      </c>
      <c r="BO24" s="21">
        <v>85347</v>
      </c>
      <c r="BP24" s="21">
        <f t="shared" si="0"/>
        <v>1874227</v>
      </c>
      <c r="BQ24" s="21">
        <f t="shared" si="1"/>
        <v>5482853</v>
      </c>
    </row>
    <row r="25" spans="1:73" x14ac:dyDescent="0.25">
      <c r="A25" s="25" t="s">
        <v>80</v>
      </c>
      <c r="B25" s="21"/>
      <c r="C25" s="21"/>
      <c r="D25" s="21"/>
      <c r="E25" s="21"/>
      <c r="F25" s="21"/>
      <c r="G25" s="21"/>
      <c r="H25" s="21">
        <v>1547</v>
      </c>
      <c r="I25" s="21">
        <v>2090</v>
      </c>
      <c r="J25" s="21">
        <v>13683</v>
      </c>
      <c r="K25" s="21">
        <v>70260</v>
      </c>
      <c r="L25" s="21"/>
      <c r="M25" s="21"/>
      <c r="N25" s="21"/>
      <c r="O25" s="21"/>
      <c r="P25" s="21"/>
      <c r="Q25" s="21"/>
      <c r="R25" s="21">
        <v>173</v>
      </c>
      <c r="S25" s="21">
        <v>1750</v>
      </c>
      <c r="T25" s="21">
        <v>1130</v>
      </c>
      <c r="U25" s="21">
        <v>1603</v>
      </c>
      <c r="V25" s="21"/>
      <c r="W25" s="21"/>
      <c r="X25" s="21"/>
      <c r="Y25" s="21"/>
      <c r="Z25" s="21">
        <v>699</v>
      </c>
      <c r="AA25" s="21">
        <v>1978</v>
      </c>
      <c r="AB25" s="21"/>
      <c r="AC25" s="21"/>
      <c r="AD25" s="21"/>
      <c r="AE25" s="21"/>
      <c r="AF25" s="21">
        <v>3103</v>
      </c>
      <c r="AG25" s="21">
        <v>125725</v>
      </c>
      <c r="AH25" s="21"/>
      <c r="AI25" s="21"/>
      <c r="AJ25" s="21"/>
      <c r="AK25" s="21"/>
      <c r="AL25" s="21"/>
      <c r="AM25" s="21"/>
      <c r="AN25" s="21">
        <v>1267</v>
      </c>
      <c r="AO25" s="21">
        <v>4257</v>
      </c>
      <c r="AP25" s="21">
        <v>154860</v>
      </c>
      <c r="AQ25" s="21">
        <v>356989</v>
      </c>
      <c r="AR25" s="21">
        <v>353845</v>
      </c>
      <c r="AS25" s="21">
        <v>672384</v>
      </c>
      <c r="AT25" s="21">
        <v>2712</v>
      </c>
      <c r="AU25" s="21">
        <v>2712</v>
      </c>
      <c r="AV25" s="21"/>
      <c r="AW25" s="21"/>
      <c r="AX25" s="21">
        <v>33933</v>
      </c>
      <c r="AY25" s="21">
        <v>72929</v>
      </c>
      <c r="AZ25" s="21">
        <v>12</v>
      </c>
      <c r="BA25" s="21">
        <v>14</v>
      </c>
      <c r="BB25" s="21">
        <v>1501</v>
      </c>
      <c r="BC25" s="21">
        <v>2601</v>
      </c>
      <c r="BD25" s="21"/>
      <c r="BE25" s="21"/>
      <c r="BF25" s="21"/>
      <c r="BG25" s="21"/>
      <c r="BH25" s="21"/>
      <c r="BI25" s="21"/>
      <c r="BJ25" s="21">
        <v>15970</v>
      </c>
      <c r="BK25" s="21">
        <v>43919</v>
      </c>
      <c r="BL25" s="21"/>
      <c r="BM25" s="21"/>
      <c r="BN25" s="21"/>
      <c r="BO25" s="21"/>
      <c r="BP25" s="21">
        <f t="shared" si="0"/>
        <v>584435</v>
      </c>
      <c r="BQ25" s="21">
        <f t="shared" si="1"/>
        <v>1359211</v>
      </c>
    </row>
    <row r="26" spans="1:73" s="15" customFormat="1" x14ac:dyDescent="0.25">
      <c r="A26" s="23" t="s">
        <v>61</v>
      </c>
      <c r="B26" s="24">
        <v>494536</v>
      </c>
      <c r="C26" s="24">
        <v>900802</v>
      </c>
      <c r="D26" s="24">
        <v>930205</v>
      </c>
      <c r="E26" s="24">
        <v>2698636</v>
      </c>
      <c r="F26" s="24">
        <v>519028</v>
      </c>
      <c r="G26" s="24">
        <v>1440972</v>
      </c>
      <c r="H26" s="24">
        <v>1455935</v>
      </c>
      <c r="I26" s="24">
        <v>3455265</v>
      </c>
      <c r="J26" s="24">
        <v>4523406</v>
      </c>
      <c r="K26" s="24">
        <v>12198304</v>
      </c>
      <c r="L26" s="24">
        <v>1304293</v>
      </c>
      <c r="M26" s="24">
        <v>3637362</v>
      </c>
      <c r="N26" s="24">
        <v>2768330</v>
      </c>
      <c r="O26" s="24">
        <v>6856149</v>
      </c>
      <c r="P26" s="24">
        <v>777706</v>
      </c>
      <c r="Q26" s="24">
        <v>2242921</v>
      </c>
      <c r="R26" s="24">
        <v>304003</v>
      </c>
      <c r="S26" s="24">
        <v>1015227</v>
      </c>
      <c r="T26" s="24">
        <v>165573</v>
      </c>
      <c r="U26" s="24">
        <v>446737</v>
      </c>
      <c r="V26" s="24">
        <v>529845</v>
      </c>
      <c r="W26" s="24">
        <v>1462951</v>
      </c>
      <c r="X26" s="24"/>
      <c r="Y26" s="24"/>
      <c r="Z26" s="24">
        <v>1044383</v>
      </c>
      <c r="AA26" s="24">
        <v>2427886</v>
      </c>
      <c r="AB26" s="24">
        <v>2763249</v>
      </c>
      <c r="AC26" s="24">
        <v>8131359</v>
      </c>
      <c r="AD26" s="24">
        <v>5185961</v>
      </c>
      <c r="AE26" s="24">
        <v>14046252</v>
      </c>
      <c r="AF26" s="24">
        <v>1212319</v>
      </c>
      <c r="AG26" s="24">
        <v>3794644</v>
      </c>
      <c r="AH26" s="24">
        <v>278203</v>
      </c>
      <c r="AI26" s="24">
        <v>734440</v>
      </c>
      <c r="AJ26" s="24">
        <v>985638</v>
      </c>
      <c r="AK26" s="24">
        <v>2609512</v>
      </c>
      <c r="AL26" s="24">
        <v>698755</v>
      </c>
      <c r="AM26" s="24">
        <v>1701786</v>
      </c>
      <c r="AN26" s="24">
        <v>859494</v>
      </c>
      <c r="AO26" s="24">
        <v>2422113</v>
      </c>
      <c r="AP26" s="24">
        <v>6384857</v>
      </c>
      <c r="AQ26" s="24">
        <v>19508707</v>
      </c>
      <c r="AR26" s="24">
        <v>8722587</v>
      </c>
      <c r="AS26" s="24">
        <v>25128934</v>
      </c>
      <c r="AT26" s="24">
        <v>5485409</v>
      </c>
      <c r="AU26" s="24">
        <v>16422239</v>
      </c>
      <c r="AV26" s="24">
        <v>77447</v>
      </c>
      <c r="AW26" s="24">
        <v>231493</v>
      </c>
      <c r="AX26" s="24">
        <v>2454399</v>
      </c>
      <c r="AY26" s="24">
        <v>6936698</v>
      </c>
      <c r="AZ26" s="24">
        <v>1295372</v>
      </c>
      <c r="BA26" s="24">
        <v>3755327</v>
      </c>
      <c r="BB26" s="24">
        <v>1146148</v>
      </c>
      <c r="BC26" s="24">
        <v>3350335</v>
      </c>
      <c r="BD26" s="24">
        <v>1390355</v>
      </c>
      <c r="BE26" s="24">
        <v>4191842</v>
      </c>
      <c r="BF26" s="24">
        <v>702940</v>
      </c>
      <c r="BG26" s="24">
        <v>1978846</v>
      </c>
      <c r="BH26" s="24">
        <v>2123132</v>
      </c>
      <c r="BI26" s="24">
        <v>6705269</v>
      </c>
      <c r="BJ26" s="24">
        <v>4207776</v>
      </c>
      <c r="BK26" s="24">
        <v>10622810</v>
      </c>
      <c r="BL26" s="24">
        <v>8135792</v>
      </c>
      <c r="BM26" s="24">
        <v>20225534</v>
      </c>
      <c r="BN26" s="24">
        <v>705420</v>
      </c>
      <c r="BO26" s="24">
        <v>1786719</v>
      </c>
      <c r="BP26" s="24">
        <f t="shared" si="0"/>
        <v>69632496</v>
      </c>
      <c r="BQ26" s="24">
        <f t="shared" si="1"/>
        <v>193068071</v>
      </c>
      <c r="BT26" s="4"/>
      <c r="BU26" s="4"/>
    </row>
  </sheetData>
  <mergeCells count="34">
    <mergeCell ref="BL3:BM3"/>
    <mergeCell ref="BN3:BO3"/>
    <mergeCell ref="AX3:AY3"/>
    <mergeCell ref="AZ3:BA3"/>
    <mergeCell ref="BB3:BC3"/>
    <mergeCell ref="BD3:BE3"/>
    <mergeCell ref="BF3:BG3"/>
    <mergeCell ref="BH3:BI3"/>
    <mergeCell ref="AN3:AO3"/>
    <mergeCell ref="AP3:AQ3"/>
    <mergeCell ref="AR3:AS3"/>
    <mergeCell ref="AT3:AU3"/>
    <mergeCell ref="BJ3:BK3"/>
    <mergeCell ref="AD3:AE3"/>
    <mergeCell ref="AF3:AG3"/>
    <mergeCell ref="AH3:AI3"/>
    <mergeCell ref="AJ3:AK3"/>
    <mergeCell ref="AL3:AM3"/>
    <mergeCell ref="BP3:BQ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V3:AW3"/>
    <mergeCell ref="Z3:AA3"/>
    <mergeCell ref="AB3:A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53.5703125" style="4" customWidth="1"/>
    <col min="2" max="35" width="16" style="4" customWidth="1"/>
    <col min="36" max="16384" width="9.140625" style="4"/>
  </cols>
  <sheetData>
    <row r="1" spans="1:35" ht="18.75" x14ac:dyDescent="0.3">
      <c r="A1" s="42" t="s">
        <v>188</v>
      </c>
    </row>
    <row r="2" spans="1:35" x14ac:dyDescent="0.25">
      <c r="A2" s="4" t="s">
        <v>43</v>
      </c>
    </row>
    <row r="3" spans="1:35" s="22" customFormat="1" x14ac:dyDescent="0.25">
      <c r="A3" s="27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69" t="s">
        <v>10</v>
      </c>
      <c r="L3" s="69" t="s">
        <v>11</v>
      </c>
      <c r="M3" s="69" t="s">
        <v>12</v>
      </c>
      <c r="N3" s="69" t="s">
        <v>13</v>
      </c>
      <c r="O3" s="69" t="s">
        <v>14</v>
      </c>
      <c r="P3" s="69" t="s">
        <v>15</v>
      </c>
      <c r="Q3" s="69" t="s">
        <v>16</v>
      </c>
      <c r="R3" s="69" t="s">
        <v>17</v>
      </c>
      <c r="S3" s="69" t="s">
        <v>18</v>
      </c>
      <c r="T3" s="69" t="s">
        <v>19</v>
      </c>
      <c r="U3" s="69" t="s">
        <v>20</v>
      </c>
      <c r="V3" s="109" t="s">
        <v>21</v>
      </c>
      <c r="W3" s="69" t="s">
        <v>161</v>
      </c>
      <c r="X3" s="69" t="s">
        <v>162</v>
      </c>
      <c r="Y3" s="69" t="s">
        <v>22</v>
      </c>
      <c r="Z3" s="69" t="s">
        <v>23</v>
      </c>
      <c r="AA3" s="69" t="s">
        <v>24</v>
      </c>
      <c r="AB3" s="69" t="s">
        <v>25</v>
      </c>
      <c r="AC3" s="69" t="s">
        <v>26</v>
      </c>
      <c r="AD3" s="69" t="s">
        <v>27</v>
      </c>
      <c r="AE3" s="69" t="s">
        <v>28</v>
      </c>
      <c r="AF3" s="69" t="s">
        <v>29</v>
      </c>
      <c r="AG3" s="69" t="s">
        <v>30</v>
      </c>
      <c r="AH3" s="69" t="s">
        <v>31</v>
      </c>
      <c r="AI3" s="69" t="s">
        <v>304</v>
      </c>
    </row>
    <row r="4" spans="1:35" x14ac:dyDescent="0.25">
      <c r="A4" s="21" t="s">
        <v>81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>
        <v>575</v>
      </c>
      <c r="X4" s="21">
        <v>2565</v>
      </c>
      <c r="Y4" s="21"/>
      <c r="Z4" s="21"/>
      <c r="AA4" s="21"/>
      <c r="AB4" s="21"/>
      <c r="AC4" s="21"/>
      <c r="AD4" s="21"/>
      <c r="AE4" s="21"/>
      <c r="AF4" s="21"/>
      <c r="AG4" s="21">
        <v>13589</v>
      </c>
      <c r="AH4" s="21"/>
      <c r="AI4" s="21">
        <f>SUM(B4:AH4)</f>
        <v>16729</v>
      </c>
    </row>
    <row r="5" spans="1:35" x14ac:dyDescent="0.25">
      <c r="A5" s="21" t="s">
        <v>82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>
        <f t="shared" ref="AI5:AI16" si="0">SUM(B5:AH5)</f>
        <v>0</v>
      </c>
    </row>
    <row r="6" spans="1:35" x14ac:dyDescent="0.25">
      <c r="A6" s="21" t="s">
        <v>280</v>
      </c>
      <c r="B6" s="21"/>
      <c r="C6" s="21">
        <v>4253027</v>
      </c>
      <c r="D6" s="21"/>
      <c r="E6" s="21">
        <v>2595061</v>
      </c>
      <c r="F6" s="21">
        <v>1666197</v>
      </c>
      <c r="G6" s="21">
        <v>1720185</v>
      </c>
      <c r="H6" s="21">
        <v>1432645</v>
      </c>
      <c r="I6" s="21">
        <v>3259275</v>
      </c>
      <c r="J6" s="21"/>
      <c r="K6" s="21"/>
      <c r="L6" s="21"/>
      <c r="M6" s="21"/>
      <c r="N6" s="21">
        <v>404348</v>
      </c>
      <c r="O6" s="21">
        <v>8403217</v>
      </c>
      <c r="P6" s="21">
        <v>15675757</v>
      </c>
      <c r="Q6" s="21">
        <v>4519821</v>
      </c>
      <c r="R6" s="21"/>
      <c r="S6" s="21">
        <v>3491250</v>
      </c>
      <c r="T6" s="21">
        <v>1830000</v>
      </c>
      <c r="U6" s="21"/>
      <c r="V6" s="21"/>
      <c r="W6" s="21">
        <v>18962416</v>
      </c>
      <c r="X6" s="21"/>
      <c r="Y6" s="21"/>
      <c r="Z6" s="21">
        <v>7667050</v>
      </c>
      <c r="AA6" s="21"/>
      <c r="AB6" s="21">
        <v>2550000</v>
      </c>
      <c r="AC6" s="21">
        <v>13326000</v>
      </c>
      <c r="AD6" s="21">
        <v>1393</v>
      </c>
      <c r="AE6" s="21">
        <v>5745592</v>
      </c>
      <c r="AF6" s="21">
        <v>3575000</v>
      </c>
      <c r="AG6" s="21"/>
      <c r="AH6" s="21">
        <v>1676182</v>
      </c>
      <c r="AI6" s="21">
        <f t="shared" si="0"/>
        <v>102754416</v>
      </c>
    </row>
    <row r="7" spans="1:35" x14ac:dyDescent="0.25">
      <c r="A7" s="21" t="s">
        <v>83</v>
      </c>
      <c r="B7" s="21"/>
      <c r="C7" s="21"/>
      <c r="D7" s="21">
        <v>33629301</v>
      </c>
      <c r="E7" s="21"/>
      <c r="F7" s="21"/>
      <c r="G7" s="21"/>
      <c r="H7" s="21">
        <v>4347567</v>
      </c>
      <c r="I7" s="21"/>
      <c r="J7" s="21"/>
      <c r="K7" s="21"/>
      <c r="L7" s="21">
        <v>21590287</v>
      </c>
      <c r="M7" s="21"/>
      <c r="N7" s="21"/>
      <c r="O7" s="21"/>
      <c r="P7" s="21">
        <v>333642</v>
      </c>
      <c r="Q7" s="21"/>
      <c r="R7" s="21"/>
      <c r="S7" s="21"/>
      <c r="T7" s="21"/>
      <c r="U7" s="21"/>
      <c r="V7" s="21">
        <v>4765688</v>
      </c>
      <c r="W7" s="21">
        <v>122249037</v>
      </c>
      <c r="X7" s="21">
        <f>29564331-6338633</f>
        <v>23225698</v>
      </c>
      <c r="Y7" s="21"/>
      <c r="Z7" s="21"/>
      <c r="AA7" s="21"/>
      <c r="AB7" s="21"/>
      <c r="AC7" s="21"/>
      <c r="AD7" s="21"/>
      <c r="AE7" s="21"/>
      <c r="AF7" s="21">
        <v>151237</v>
      </c>
      <c r="AG7" s="21">
        <v>25615879</v>
      </c>
      <c r="AH7" s="21"/>
      <c r="AI7" s="21">
        <f t="shared" si="0"/>
        <v>235908336</v>
      </c>
    </row>
    <row r="8" spans="1:35" ht="30" x14ac:dyDescent="0.25">
      <c r="A8" s="25" t="s">
        <v>259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8503107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>
        <f t="shared" si="0"/>
        <v>8503107</v>
      </c>
    </row>
    <row r="9" spans="1:35" x14ac:dyDescent="0.25">
      <c r="A9" s="21" t="s">
        <v>189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f t="shared" si="0"/>
        <v>0</v>
      </c>
    </row>
    <row r="10" spans="1:35" x14ac:dyDescent="0.25">
      <c r="A10" s="21" t="s">
        <v>260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>
        <v>-4966878</v>
      </c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>
        <f t="shared" si="0"/>
        <v>-4966878</v>
      </c>
    </row>
    <row r="11" spans="1:35" x14ac:dyDescent="0.25">
      <c r="A11" s="21" t="s">
        <v>261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>
        <v>-4120000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>
        <f t="shared" si="0"/>
        <v>-4120000</v>
      </c>
    </row>
    <row r="12" spans="1:35" x14ac:dyDescent="0.25">
      <c r="A12" s="21" t="s">
        <v>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v>1166</v>
      </c>
      <c r="R12" s="21"/>
      <c r="S12" s="21"/>
      <c r="T12" s="21"/>
      <c r="U12" s="21"/>
      <c r="V12" s="21">
        <v>16529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>
        <f t="shared" si="0"/>
        <v>17695</v>
      </c>
    </row>
    <row r="13" spans="1:35" x14ac:dyDescent="0.25">
      <c r="A13" s="21" t="s">
        <v>380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129012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>
        <v>158400</v>
      </c>
      <c r="AH13" s="21"/>
      <c r="AI13" s="21">
        <f t="shared" si="0"/>
        <v>287412</v>
      </c>
    </row>
    <row r="14" spans="1:35" x14ac:dyDescent="0.25">
      <c r="A14" s="21" t="s">
        <v>190</v>
      </c>
      <c r="B14" s="21"/>
      <c r="C14" s="21"/>
      <c r="D14" s="21"/>
      <c r="E14" s="21">
        <v>10685</v>
      </c>
      <c r="F14" s="21"/>
      <c r="G14" s="21"/>
      <c r="H14" s="21">
        <v>100000</v>
      </c>
      <c r="I14" s="21"/>
      <c r="J14" s="21"/>
      <c r="K14" s="21"/>
      <c r="L14" s="21">
        <v>600000</v>
      </c>
      <c r="M14" s="21"/>
      <c r="N14" s="21"/>
      <c r="O14" s="21">
        <v>267300</v>
      </c>
      <c r="P14" s="21">
        <v>207858</v>
      </c>
      <c r="Q14" s="21"/>
      <c r="R14" s="21"/>
      <c r="S14" s="21"/>
      <c r="T14" s="21"/>
      <c r="U14" s="21"/>
      <c r="V14" s="21">
        <v>1014427</v>
      </c>
      <c r="W14" s="21">
        <v>13470089</v>
      </c>
      <c r="X14" s="21"/>
      <c r="Y14" s="21"/>
      <c r="Z14" s="21">
        <v>175694</v>
      </c>
      <c r="AA14" s="21">
        <v>63889</v>
      </c>
      <c r="AB14" s="21"/>
      <c r="AC14" s="21"/>
      <c r="AD14" s="21"/>
      <c r="AE14" s="21"/>
      <c r="AF14" s="21">
        <v>445000</v>
      </c>
      <c r="AG14" s="21">
        <v>8628</v>
      </c>
      <c r="AH14" s="21"/>
      <c r="AI14" s="21">
        <f t="shared" si="0"/>
        <v>16363570</v>
      </c>
    </row>
    <row r="15" spans="1:35" x14ac:dyDescent="0.25">
      <c r="A15" s="21" t="s">
        <v>85</v>
      </c>
      <c r="B15" s="21"/>
      <c r="C15" s="21"/>
      <c r="D15" s="21">
        <v>2870711</v>
      </c>
      <c r="E15" s="21"/>
      <c r="F15" s="21">
        <v>47258137</v>
      </c>
      <c r="G15" s="21"/>
      <c r="H15" s="21">
        <v>5399911</v>
      </c>
      <c r="I15" s="21"/>
      <c r="J15" s="21"/>
      <c r="K15" s="21"/>
      <c r="L15" s="21">
        <v>1923940</v>
      </c>
      <c r="M15" s="21"/>
      <c r="N15" s="21"/>
      <c r="O15" s="21">
        <v>6368616</v>
      </c>
      <c r="P15" s="21">
        <v>30142339</v>
      </c>
      <c r="Q15" s="21">
        <v>15000280</v>
      </c>
      <c r="R15" s="21"/>
      <c r="S15" s="21"/>
      <c r="T15" s="21"/>
      <c r="U15" s="21"/>
      <c r="V15" s="21"/>
      <c r="W15" s="21"/>
      <c r="X15" s="21"/>
      <c r="Y15" s="21">
        <v>113543</v>
      </c>
      <c r="Z15" s="21">
        <v>5014607</v>
      </c>
      <c r="AA15" s="21"/>
      <c r="AB15" s="21">
        <v>4136880</v>
      </c>
      <c r="AC15" s="21">
        <v>2520275</v>
      </c>
      <c r="AD15" s="21">
        <v>13978673</v>
      </c>
      <c r="AE15" s="21"/>
      <c r="AF15" s="21">
        <v>6727400</v>
      </c>
      <c r="AG15" s="21">
        <v>225000</v>
      </c>
      <c r="AH15" s="21">
        <v>2420620</v>
      </c>
      <c r="AI15" s="21">
        <f t="shared" si="0"/>
        <v>144100932</v>
      </c>
    </row>
    <row r="16" spans="1:35" s="15" customFormat="1" x14ac:dyDescent="0.25">
      <c r="A16" s="24" t="s">
        <v>61</v>
      </c>
      <c r="B16" s="24"/>
      <c r="C16" s="24">
        <v>4253027</v>
      </c>
      <c r="D16" s="24">
        <v>36500012</v>
      </c>
      <c r="E16" s="24">
        <v>2605746</v>
      </c>
      <c r="F16" s="24">
        <v>48924334</v>
      </c>
      <c r="G16" s="24">
        <v>1720185</v>
      </c>
      <c r="H16" s="24">
        <v>11280123</v>
      </c>
      <c r="I16" s="24">
        <v>3259275</v>
      </c>
      <c r="J16" s="24"/>
      <c r="K16" s="24"/>
      <c r="L16" s="24">
        <v>24114227</v>
      </c>
      <c r="M16" s="24"/>
      <c r="N16" s="24">
        <v>404348</v>
      </c>
      <c r="O16" s="24">
        <v>15039133</v>
      </c>
      <c r="P16" s="24">
        <v>46359596</v>
      </c>
      <c r="Q16" s="24">
        <v>19521267</v>
      </c>
      <c r="R16" s="24"/>
      <c r="S16" s="24">
        <v>3491250</v>
      </c>
      <c r="T16" s="24">
        <v>1830000</v>
      </c>
      <c r="U16" s="24"/>
      <c r="V16" s="24">
        <v>5925656</v>
      </c>
      <c r="W16" s="24">
        <v>154098346</v>
      </c>
      <c r="X16" s="24">
        <v>23228263</v>
      </c>
      <c r="Y16" s="24">
        <v>113543</v>
      </c>
      <c r="Z16" s="24">
        <v>12857351</v>
      </c>
      <c r="AA16" s="24">
        <v>63889</v>
      </c>
      <c r="AB16" s="24">
        <v>6686880</v>
      </c>
      <c r="AC16" s="24">
        <v>15846275</v>
      </c>
      <c r="AD16" s="24">
        <v>13980066</v>
      </c>
      <c r="AE16" s="24">
        <v>5745592</v>
      </c>
      <c r="AF16" s="24">
        <v>10898637</v>
      </c>
      <c r="AG16" s="24">
        <v>26021496</v>
      </c>
      <c r="AH16" s="24">
        <v>4096802</v>
      </c>
      <c r="AI16" s="24">
        <f t="shared" si="0"/>
        <v>498865319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5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5" style="6" customWidth="1"/>
    <col min="2" max="34" width="16" style="4" customWidth="1"/>
    <col min="35" max="16384" width="9.140625" style="4"/>
  </cols>
  <sheetData>
    <row r="1" spans="1:34" ht="18.75" x14ac:dyDescent="0.3">
      <c r="A1" s="28" t="s">
        <v>203</v>
      </c>
    </row>
    <row r="2" spans="1:34" x14ac:dyDescent="0.25">
      <c r="A2" s="6" t="s">
        <v>43</v>
      </c>
    </row>
    <row r="3" spans="1:34" x14ac:dyDescent="0.25">
      <c r="A3" s="66" t="s">
        <v>194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s="22" customFormat="1" x14ac:dyDescent="0.25">
      <c r="A4" s="27" t="s">
        <v>0</v>
      </c>
      <c r="B4" s="65" t="s">
        <v>1</v>
      </c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65" t="s">
        <v>7</v>
      </c>
      <c r="I4" s="65" t="s">
        <v>8</v>
      </c>
      <c r="J4" s="65" t="s">
        <v>9</v>
      </c>
      <c r="K4" s="65" t="s">
        <v>10</v>
      </c>
      <c r="L4" s="65" t="s">
        <v>11</v>
      </c>
      <c r="M4" s="65" t="s">
        <v>12</v>
      </c>
      <c r="N4" s="65" t="s">
        <v>13</v>
      </c>
      <c r="O4" s="65" t="s">
        <v>14</v>
      </c>
      <c r="P4" s="65" t="s">
        <v>15</v>
      </c>
      <c r="Q4" s="65" t="s">
        <v>16</v>
      </c>
      <c r="R4" s="65" t="s">
        <v>17</v>
      </c>
      <c r="S4" s="65" t="s">
        <v>18</v>
      </c>
      <c r="T4" s="65" t="s">
        <v>19</v>
      </c>
      <c r="U4" s="65" t="s">
        <v>20</v>
      </c>
      <c r="V4" s="65" t="s">
        <v>21</v>
      </c>
      <c r="W4" s="65" t="s">
        <v>161</v>
      </c>
      <c r="X4" s="65" t="s">
        <v>162</v>
      </c>
      <c r="Y4" s="65" t="s">
        <v>22</v>
      </c>
      <c r="Z4" s="65" t="s">
        <v>23</v>
      </c>
      <c r="AA4" s="65" t="s">
        <v>24</v>
      </c>
      <c r="AB4" s="65" t="s">
        <v>25</v>
      </c>
      <c r="AC4" s="65" t="s">
        <v>26</v>
      </c>
      <c r="AD4" s="65" t="s">
        <v>27</v>
      </c>
      <c r="AE4" s="65" t="s">
        <v>28</v>
      </c>
      <c r="AF4" s="65" t="s">
        <v>29</v>
      </c>
      <c r="AG4" s="65" t="s">
        <v>30</v>
      </c>
      <c r="AH4" s="65" t="s">
        <v>31</v>
      </c>
    </row>
    <row r="5" spans="1:34" s="15" customFormat="1" x14ac:dyDescent="0.25">
      <c r="A5" s="23" t="s">
        <v>86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ht="30" x14ac:dyDescent="0.25">
      <c r="A6" s="25" t="s">
        <v>87</v>
      </c>
      <c r="B6" s="21"/>
      <c r="C6" s="21">
        <v>685227</v>
      </c>
      <c r="D6" s="21"/>
      <c r="E6" s="21"/>
      <c r="F6" s="21"/>
      <c r="G6" s="21">
        <v>1554531</v>
      </c>
      <c r="H6" s="21">
        <v>2765997</v>
      </c>
      <c r="I6" s="21">
        <v>445115</v>
      </c>
      <c r="J6" s="21">
        <v>256791</v>
      </c>
      <c r="K6" s="21">
        <v>310081</v>
      </c>
      <c r="L6" s="21">
        <f>7793234+4859661</f>
        <v>12652895</v>
      </c>
      <c r="M6" s="21">
        <v>2430575</v>
      </c>
      <c r="N6" s="21">
        <v>1680031</v>
      </c>
      <c r="O6" s="53">
        <v>6318415</v>
      </c>
      <c r="P6" s="21"/>
      <c r="Q6" s="21">
        <v>5604753</v>
      </c>
      <c r="R6" s="21">
        <v>167024</v>
      </c>
      <c r="S6" s="21">
        <v>925256</v>
      </c>
      <c r="T6" s="21">
        <v>630183</v>
      </c>
      <c r="U6" s="21">
        <v>400451</v>
      </c>
      <c r="V6" s="21">
        <v>6349704</v>
      </c>
      <c r="W6" s="21"/>
      <c r="X6" s="21"/>
      <c r="Y6" s="21"/>
      <c r="Z6" s="21">
        <v>3519605</v>
      </c>
      <c r="AA6" s="21"/>
      <c r="AB6" s="21">
        <v>3176031</v>
      </c>
      <c r="AC6" s="21">
        <v>4105440</v>
      </c>
      <c r="AD6" s="21">
        <v>1820892</v>
      </c>
      <c r="AE6" s="21">
        <v>4569413</v>
      </c>
      <c r="AF6" s="21">
        <v>7246763</v>
      </c>
      <c r="AG6" s="21"/>
      <c r="AH6" s="21">
        <v>1327732</v>
      </c>
    </row>
    <row r="7" spans="1:34" x14ac:dyDescent="0.25">
      <c r="A7" s="25" t="s">
        <v>88</v>
      </c>
      <c r="B7" s="21"/>
      <c r="C7" s="21">
        <v>359089</v>
      </c>
      <c r="D7" s="21"/>
      <c r="E7" s="21"/>
      <c r="F7" s="21"/>
      <c r="G7" s="21"/>
      <c r="H7" s="21"/>
      <c r="I7" s="21">
        <v>205524</v>
      </c>
      <c r="J7" s="21">
        <v>100164</v>
      </c>
      <c r="K7" s="21"/>
      <c r="L7" s="21">
        <v>240714</v>
      </c>
      <c r="M7" s="21"/>
      <c r="N7" s="21">
        <v>215454</v>
      </c>
      <c r="O7" s="53">
        <v>2121490</v>
      </c>
      <c r="P7" s="21"/>
      <c r="Q7" s="21"/>
      <c r="R7" s="21"/>
      <c r="S7" s="21">
        <v>582848</v>
      </c>
      <c r="T7" s="21">
        <v>106252</v>
      </c>
      <c r="U7" s="21">
        <v>564438</v>
      </c>
      <c r="V7" s="21">
        <v>23415</v>
      </c>
      <c r="W7" s="21"/>
      <c r="X7" s="21"/>
      <c r="Y7" s="21"/>
      <c r="Z7" s="21">
        <v>1108771</v>
      </c>
      <c r="AA7" s="21"/>
      <c r="AB7" s="21"/>
      <c r="AC7" s="21">
        <v>2575265</v>
      </c>
      <c r="AD7" s="21">
        <v>561388</v>
      </c>
      <c r="AE7" s="21"/>
      <c r="AF7" s="21"/>
      <c r="AG7" s="21"/>
      <c r="AH7" s="21"/>
    </row>
    <row r="8" spans="1:34" x14ac:dyDescent="0.25">
      <c r="A8" s="25" t="s">
        <v>89</v>
      </c>
      <c r="B8" s="21"/>
      <c r="C8" s="21"/>
      <c r="D8" s="21"/>
      <c r="E8" s="21"/>
      <c r="F8" s="21"/>
      <c r="G8" s="21"/>
      <c r="H8" s="21">
        <v>12159</v>
      </c>
      <c r="I8" s="21"/>
      <c r="J8" s="21"/>
      <c r="K8" s="21"/>
      <c r="L8" s="21">
        <v>849922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x14ac:dyDescent="0.25">
      <c r="A9" s="25" t="s">
        <v>90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x14ac:dyDescent="0.25">
      <c r="A10" s="25" t="s">
        <v>91</v>
      </c>
      <c r="B10" s="21"/>
      <c r="C10" s="21"/>
      <c r="D10" s="21"/>
      <c r="E10" s="21"/>
      <c r="F10" s="21"/>
      <c r="G10" s="21">
        <v>49347</v>
      </c>
      <c r="H10" s="21">
        <v>147833</v>
      </c>
      <c r="I10" s="21"/>
      <c r="J10" s="21"/>
      <c r="K10" s="21"/>
      <c r="L10" s="21">
        <v>4806195</v>
      </c>
      <c r="M10" s="21">
        <v>57547</v>
      </c>
      <c r="N10" s="21"/>
      <c r="O10" s="53">
        <v>904391</v>
      </c>
      <c r="P10" s="21"/>
      <c r="Q10" s="21">
        <v>7222</v>
      </c>
      <c r="R10" s="21">
        <v>8245</v>
      </c>
      <c r="S10" s="21"/>
      <c r="T10" s="21"/>
      <c r="U10" s="21"/>
      <c r="V10" s="21">
        <v>9242032.1538440958</v>
      </c>
      <c r="W10" s="21"/>
      <c r="X10" s="21"/>
      <c r="Y10" s="21"/>
      <c r="Z10" s="21">
        <v>179063</v>
      </c>
      <c r="AA10" s="21"/>
      <c r="AB10" s="21"/>
      <c r="AC10" s="21">
        <v>1735843</v>
      </c>
      <c r="AD10" s="21">
        <v>725645</v>
      </c>
      <c r="AE10" s="21"/>
      <c r="AF10" s="21">
        <v>1643450</v>
      </c>
      <c r="AG10" s="21"/>
      <c r="AH10" s="21"/>
    </row>
    <row r="11" spans="1:34" x14ac:dyDescent="0.25">
      <c r="A11" s="25" t="s">
        <v>92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53">
        <v>18695</v>
      </c>
      <c r="P11" s="21"/>
      <c r="Q11" s="21"/>
      <c r="R11" s="21"/>
      <c r="S11" s="21"/>
      <c r="T11" s="21">
        <v>9086</v>
      </c>
      <c r="U11" s="21"/>
      <c r="V11" s="21">
        <v>439.90661134633768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34" x14ac:dyDescent="0.25">
      <c r="A12" s="25" t="s">
        <v>93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x14ac:dyDescent="0.25">
      <c r="A13" s="25" t="s">
        <v>94</v>
      </c>
      <c r="B13" s="21"/>
      <c r="C13" s="21">
        <v>146635</v>
      </c>
      <c r="D13" s="21"/>
      <c r="E13" s="21">
        <v>100000</v>
      </c>
      <c r="F13" s="21"/>
      <c r="G13" s="21">
        <v>1318788</v>
      </c>
      <c r="H13" s="21">
        <v>2383348</v>
      </c>
      <c r="I13" s="21">
        <v>448793</v>
      </c>
      <c r="J13" s="21"/>
      <c r="K13" s="21">
        <v>199376</v>
      </c>
      <c r="L13" s="21">
        <f>3872017+1482162</f>
        <v>5354179</v>
      </c>
      <c r="M13" s="21">
        <v>1438889</v>
      </c>
      <c r="N13" s="21">
        <v>551959</v>
      </c>
      <c r="O13" s="53">
        <v>3722867</v>
      </c>
      <c r="P13" s="21"/>
      <c r="Q13" s="21">
        <v>1938307</v>
      </c>
      <c r="R13" s="21">
        <v>190626</v>
      </c>
      <c r="S13" s="21">
        <v>1803039</v>
      </c>
      <c r="T13" s="21">
        <v>753171</v>
      </c>
      <c r="U13" s="21">
        <v>454242</v>
      </c>
      <c r="V13" s="21">
        <v>1794373.5152173114</v>
      </c>
      <c r="W13" s="21"/>
      <c r="X13" s="21"/>
      <c r="Y13" s="21"/>
      <c r="Z13" s="21">
        <v>4137489</v>
      </c>
      <c r="AA13" s="21"/>
      <c r="AB13" s="21">
        <v>2356380</v>
      </c>
      <c r="AC13" s="21">
        <v>1656410</v>
      </c>
      <c r="AD13" s="21">
        <v>213175</v>
      </c>
      <c r="AE13" s="21">
        <v>921163</v>
      </c>
      <c r="AF13" s="21">
        <v>3714818</v>
      </c>
      <c r="AG13" s="21"/>
      <c r="AH13" s="21">
        <v>560147</v>
      </c>
    </row>
    <row r="14" spans="1:34" x14ac:dyDescent="0.25">
      <c r="A14" s="25" t="s">
        <v>288</v>
      </c>
      <c r="B14" s="30"/>
      <c r="C14" s="21"/>
      <c r="D14" s="21"/>
      <c r="E14" s="21">
        <v>101714</v>
      </c>
      <c r="F14" s="21"/>
      <c r="G14" s="21"/>
      <c r="H14" s="21"/>
      <c r="I14" s="21"/>
      <c r="J14" s="21"/>
      <c r="K14" s="21"/>
      <c r="L14" s="21"/>
      <c r="M14" s="21"/>
      <c r="N14" s="21"/>
      <c r="O14" s="53">
        <v>116890</v>
      </c>
      <c r="P14" s="21"/>
      <c r="Q14" s="21"/>
      <c r="R14" s="21"/>
      <c r="S14" s="21"/>
      <c r="T14" s="21">
        <v>31832</v>
      </c>
      <c r="U14" s="21"/>
      <c r="V14" s="21"/>
      <c r="W14" s="21"/>
      <c r="X14" s="21"/>
      <c r="Y14" s="21"/>
      <c r="Z14" s="21">
        <v>62360</v>
      </c>
      <c r="AA14" s="21"/>
      <c r="AB14" s="21"/>
      <c r="AC14" s="21">
        <v>73414</v>
      </c>
      <c r="AD14" s="21"/>
      <c r="AE14" s="21"/>
      <c r="AF14" s="21"/>
      <c r="AG14" s="21"/>
      <c r="AH14" s="21"/>
    </row>
    <row r="15" spans="1:34" x14ac:dyDescent="0.25">
      <c r="A15" s="25" t="s">
        <v>289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v>680571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4" x14ac:dyDescent="0.25">
      <c r="A16" s="25" t="s">
        <v>290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>
        <v>9973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>
        <v>731641</v>
      </c>
      <c r="AE16" s="21"/>
      <c r="AF16" s="21"/>
      <c r="AG16" s="21"/>
      <c r="AH16" s="21"/>
    </row>
    <row r="17" spans="1:34" x14ac:dyDescent="0.25">
      <c r="A17" s="25" t="s">
        <v>291</v>
      </c>
      <c r="B17" s="21"/>
      <c r="C17" s="21"/>
      <c r="D17" s="21"/>
      <c r="E17" s="21"/>
      <c r="F17" s="21"/>
      <c r="G17" s="21">
        <v>107246</v>
      </c>
      <c r="H17" s="21">
        <v>31154</v>
      </c>
      <c r="I17" s="21"/>
      <c r="J17" s="21"/>
      <c r="K17" s="21"/>
      <c r="L17" s="21"/>
      <c r="M17" s="21"/>
      <c r="N17" s="21"/>
      <c r="O17" s="21"/>
      <c r="P17" s="21"/>
      <c r="Q17" s="21">
        <v>1171</v>
      </c>
      <c r="R17" s="21"/>
      <c r="S17" s="21"/>
      <c r="T17" s="21"/>
      <c r="U17" s="21"/>
      <c r="V17" s="21">
        <v>4655.7011249624302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1:34" x14ac:dyDescent="0.25">
      <c r="A18" s="25" t="s">
        <v>383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>
        <v>91961.093192264263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x14ac:dyDescent="0.25">
      <c r="A19" s="25" t="s">
        <v>95</v>
      </c>
      <c r="B19" s="21"/>
      <c r="C19" s="21">
        <v>150306</v>
      </c>
      <c r="D19" s="21"/>
      <c r="E19" s="21">
        <v>420000</v>
      </c>
      <c r="F19" s="21"/>
      <c r="G19" s="21">
        <v>1179970</v>
      </c>
      <c r="H19" s="21">
        <v>1444278</v>
      </c>
      <c r="I19" s="21">
        <v>398434</v>
      </c>
      <c r="J19" s="21">
        <v>49999</v>
      </c>
      <c r="K19" s="21">
        <v>553745</v>
      </c>
      <c r="L19" s="21">
        <v>10676492</v>
      </c>
      <c r="M19" s="21">
        <v>2200685</v>
      </c>
      <c r="N19" s="21">
        <v>1579375</v>
      </c>
      <c r="O19" s="53">
        <v>6241934</v>
      </c>
      <c r="P19" s="21"/>
      <c r="Q19" s="21">
        <v>6997075</v>
      </c>
      <c r="R19" s="21">
        <v>379036</v>
      </c>
      <c r="S19" s="21">
        <v>1144005</v>
      </c>
      <c r="T19" s="21">
        <v>324535</v>
      </c>
      <c r="U19" s="21">
        <v>599645</v>
      </c>
      <c r="V19" s="21">
        <v>1365987.4262189881</v>
      </c>
      <c r="W19" s="21"/>
      <c r="X19" s="21"/>
      <c r="Y19" s="21"/>
      <c r="Z19" s="21">
        <v>1074551</v>
      </c>
      <c r="AA19" s="21"/>
      <c r="AB19" s="21">
        <v>1668760</v>
      </c>
      <c r="AC19" s="21">
        <v>4685454</v>
      </c>
      <c r="AD19" s="21">
        <v>2881473</v>
      </c>
      <c r="AE19" s="21">
        <v>3362893</v>
      </c>
      <c r="AF19" s="21">
        <v>5059651</v>
      </c>
      <c r="AG19" s="21"/>
      <c r="AH19" s="21">
        <v>1043081</v>
      </c>
    </row>
    <row r="20" spans="1:34" x14ac:dyDescent="0.25">
      <c r="A20" s="25" t="s">
        <v>191</v>
      </c>
      <c r="B20" s="21"/>
      <c r="C20" s="21"/>
      <c r="D20" s="21"/>
      <c r="E20" s="21"/>
      <c r="F20" s="21"/>
      <c r="G20" s="21">
        <v>84980</v>
      </c>
      <c r="H20" s="21">
        <v>186780</v>
      </c>
      <c r="I20" s="21"/>
      <c r="J20" s="21">
        <v>49981</v>
      </c>
      <c r="K20" s="21"/>
      <c r="L20" s="21"/>
      <c r="M20" s="21">
        <v>45221</v>
      </c>
      <c r="N20" s="21"/>
      <c r="O20" s="21">
        <v>338503</v>
      </c>
      <c r="P20" s="21"/>
      <c r="Q20" s="21">
        <v>405517</v>
      </c>
      <c r="R20" s="21"/>
      <c r="S20" s="21"/>
      <c r="T20" s="21"/>
      <c r="U20" s="21"/>
      <c r="V20" s="21"/>
      <c r="W20" s="21"/>
      <c r="X20" s="21"/>
      <c r="Y20" s="21"/>
      <c r="Z20" s="21">
        <v>154507</v>
      </c>
      <c r="AA20" s="21"/>
      <c r="AB20" s="21">
        <v>201453</v>
      </c>
      <c r="AC20" s="21"/>
      <c r="AD20" s="21"/>
      <c r="AE20" s="21">
        <v>72254</v>
      </c>
      <c r="AF20" s="21">
        <v>906854</v>
      </c>
      <c r="AG20" s="21"/>
      <c r="AH20" s="21">
        <v>42994</v>
      </c>
    </row>
    <row r="21" spans="1:34" s="15" customFormat="1" x14ac:dyDescent="0.25">
      <c r="A21" s="23" t="s">
        <v>192</v>
      </c>
      <c r="B21" s="24"/>
      <c r="C21" s="24">
        <f>SUM(C6:C20)</f>
        <v>1341257</v>
      </c>
      <c r="D21" s="24"/>
      <c r="E21" s="24">
        <f>SUM(E6:E20)</f>
        <v>621714</v>
      </c>
      <c r="F21" s="24"/>
      <c r="G21" s="24">
        <f>SUM(G6:G20)</f>
        <v>4294862</v>
      </c>
      <c r="H21" s="24">
        <v>6971549</v>
      </c>
      <c r="I21" s="24">
        <f>SUM(I6:I20)</f>
        <v>1497866</v>
      </c>
      <c r="J21" s="24">
        <f>SUM(J6:J20)</f>
        <v>456935</v>
      </c>
      <c r="K21" s="24">
        <f>SUM(K6:K20)</f>
        <v>1063202</v>
      </c>
      <c r="L21" s="24">
        <v>34580398</v>
      </c>
      <c r="M21" s="24">
        <v>6182891</v>
      </c>
      <c r="N21" s="24">
        <v>4026818</v>
      </c>
      <c r="O21" s="24">
        <f>SUM(O6:O20)</f>
        <v>19783185</v>
      </c>
      <c r="P21" s="24"/>
      <c r="Q21" s="24">
        <f>SUM(Q6:Q20)</f>
        <v>15634616</v>
      </c>
      <c r="R21" s="24">
        <f>SUM(R6:R20)</f>
        <v>744931</v>
      </c>
      <c r="S21" s="24">
        <f>SUM(S6:S20)</f>
        <v>4455148</v>
      </c>
      <c r="T21" s="24">
        <v>1855059</v>
      </c>
      <c r="U21" s="24">
        <f>SUM(U6:U20)</f>
        <v>2018776</v>
      </c>
      <c r="V21" s="24"/>
      <c r="W21" s="24"/>
      <c r="X21" s="24"/>
      <c r="Y21" s="24"/>
      <c r="Z21" s="24">
        <f>SUM(Z6:Z20)</f>
        <v>10236346</v>
      </c>
      <c r="AA21" s="24"/>
      <c r="AB21" s="24">
        <f>SUM(AB6:AB20)</f>
        <v>7402624</v>
      </c>
      <c r="AC21" s="24">
        <f>SUM(AC6:AC20)</f>
        <v>14831826</v>
      </c>
      <c r="AD21" s="24">
        <v>6934214</v>
      </c>
      <c r="AE21" s="24">
        <f>SUM(AE6:AE20)</f>
        <v>8925723</v>
      </c>
      <c r="AF21" s="24">
        <f>SUM(AF6:AF20)</f>
        <v>18571536</v>
      </c>
      <c r="AG21" s="24"/>
      <c r="AH21" s="24"/>
    </row>
    <row r="22" spans="1:34" s="50" customFormat="1" x14ac:dyDescent="0.25">
      <c r="A22" s="67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1:34" s="15" customFormat="1" x14ac:dyDescent="0.25">
      <c r="A23" s="23" t="s">
        <v>96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</row>
    <row r="24" spans="1:34" ht="30" x14ac:dyDescent="0.25">
      <c r="A24" s="25" t="s">
        <v>87</v>
      </c>
      <c r="B24" s="21"/>
      <c r="C24" s="21"/>
      <c r="D24" s="21"/>
      <c r="E24" s="21"/>
      <c r="F24" s="21"/>
      <c r="G24" s="21">
        <v>156492</v>
      </c>
      <c r="H24" s="21">
        <v>10814</v>
      </c>
      <c r="I24" s="21"/>
      <c r="J24" s="21"/>
      <c r="K24" s="21"/>
      <c r="L24" s="21">
        <f>292877+982233</f>
        <v>1275110</v>
      </c>
      <c r="M24" s="21">
        <v>211170</v>
      </c>
      <c r="N24" s="21"/>
      <c r="O24" s="53">
        <v>478522</v>
      </c>
      <c r="P24" s="21"/>
      <c r="Q24" s="21">
        <v>1179942</v>
      </c>
      <c r="R24" s="21">
        <v>88496</v>
      </c>
      <c r="S24" s="21">
        <v>239355</v>
      </c>
      <c r="T24" s="21"/>
      <c r="U24" s="21"/>
      <c r="V24" s="21">
        <v>50870</v>
      </c>
      <c r="W24" s="21"/>
      <c r="X24" s="21"/>
      <c r="Y24" s="21"/>
      <c r="Z24" s="21">
        <v>307886</v>
      </c>
      <c r="AA24" s="21"/>
      <c r="AB24" s="21">
        <v>95013</v>
      </c>
      <c r="AC24" s="21"/>
      <c r="AD24" s="21"/>
      <c r="AE24" s="21"/>
      <c r="AF24" s="21">
        <v>114558</v>
      </c>
      <c r="AG24" s="21"/>
      <c r="AH24" s="21">
        <v>722102</v>
      </c>
    </row>
    <row r="25" spans="1:34" x14ac:dyDescent="0.25">
      <c r="A25" s="25" t="s">
        <v>88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>
        <v>611187</v>
      </c>
      <c r="R25" s="21"/>
      <c r="S25" s="21"/>
      <c r="T25" s="21"/>
      <c r="U25" s="21"/>
      <c r="V25" s="21"/>
      <c r="W25" s="21"/>
      <c r="X25" s="21"/>
      <c r="Y25" s="21"/>
      <c r="Z25" s="21">
        <v>48226</v>
      </c>
      <c r="AA25" s="21"/>
      <c r="AB25" s="21"/>
      <c r="AC25" s="21"/>
      <c r="AD25" s="21">
        <v>709</v>
      </c>
      <c r="AE25" s="21"/>
      <c r="AF25" s="21"/>
      <c r="AG25" s="21"/>
      <c r="AH25" s="21"/>
    </row>
    <row r="26" spans="1:34" x14ac:dyDescent="0.25">
      <c r="A26" s="25" t="s">
        <v>89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>
        <v>110815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x14ac:dyDescent="0.25">
      <c r="A27" s="25" t="s">
        <v>90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4" x14ac:dyDescent="0.25">
      <c r="A28" s="25" t="s">
        <v>91</v>
      </c>
      <c r="B28" s="21"/>
      <c r="C28" s="21"/>
      <c r="D28" s="21"/>
      <c r="E28" s="21"/>
      <c r="F28" s="21"/>
      <c r="G28" s="21"/>
      <c r="H28" s="21"/>
      <c r="I28" s="21"/>
      <c r="J28" s="21"/>
      <c r="K28" s="21">
        <v>4963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>
        <v>14519</v>
      </c>
      <c r="AA28" s="21"/>
      <c r="AB28" s="21">
        <v>594952</v>
      </c>
      <c r="AC28" s="21"/>
      <c r="AD28" s="21"/>
      <c r="AE28" s="21"/>
      <c r="AF28" s="21"/>
      <c r="AG28" s="21"/>
      <c r="AH28" s="21">
        <v>47590</v>
      </c>
    </row>
    <row r="29" spans="1:34" x14ac:dyDescent="0.25">
      <c r="A29" s="25" t="s">
        <v>92</v>
      </c>
      <c r="B29" s="21"/>
      <c r="C29" s="21"/>
      <c r="D29" s="21"/>
      <c r="E29" s="21"/>
      <c r="F29" s="21"/>
      <c r="G29" s="21"/>
      <c r="H29" s="21"/>
      <c r="I29" s="21"/>
      <c r="J29" s="21"/>
      <c r="K29" s="21">
        <v>70947</v>
      </c>
      <c r="L29" s="21"/>
      <c r="M29" s="21"/>
      <c r="N29" s="21"/>
      <c r="O29" s="21"/>
      <c r="P29" s="21"/>
      <c r="Q29" s="21"/>
      <c r="R29" s="21"/>
      <c r="S29" s="21"/>
      <c r="T29" s="21">
        <v>3029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4" x14ac:dyDescent="0.25">
      <c r="A30" s="25" t="s">
        <v>93</v>
      </c>
      <c r="B30" s="21"/>
      <c r="C30" s="21"/>
      <c r="D30" s="21"/>
      <c r="E30" s="21">
        <v>279845</v>
      </c>
      <c r="F30" s="21"/>
      <c r="G30" s="21">
        <v>154833</v>
      </c>
      <c r="H30" s="21">
        <v>113511</v>
      </c>
      <c r="I30" s="21">
        <v>58691</v>
      </c>
      <c r="J30" s="21">
        <v>44512</v>
      </c>
      <c r="K30" s="21"/>
      <c r="L30" s="21"/>
      <c r="M30" s="21"/>
      <c r="N30" s="21"/>
      <c r="O30" s="53">
        <v>812078</v>
      </c>
      <c r="P30" s="21"/>
      <c r="Q30" s="21">
        <v>281075</v>
      </c>
      <c r="R30" s="21">
        <v>8309</v>
      </c>
      <c r="S30" s="21">
        <v>160862</v>
      </c>
      <c r="T30" s="21">
        <v>108229</v>
      </c>
      <c r="U30" s="21">
        <v>382081</v>
      </c>
      <c r="V30" s="21">
        <v>633091</v>
      </c>
      <c r="W30" s="21"/>
      <c r="X30" s="21"/>
      <c r="Y30" s="21"/>
      <c r="Z30" s="21">
        <v>194945</v>
      </c>
      <c r="AA30" s="21"/>
      <c r="AB30" s="21">
        <v>227524</v>
      </c>
      <c r="AC30" s="21"/>
      <c r="AD30" s="21"/>
      <c r="AE30" s="21">
        <v>344252</v>
      </c>
      <c r="AF30" s="21">
        <v>1255028</v>
      </c>
      <c r="AG30" s="21"/>
      <c r="AH30" s="21">
        <v>318506</v>
      </c>
    </row>
    <row r="31" spans="1:34" x14ac:dyDescent="0.25">
      <c r="A31" s="25" t="s">
        <v>292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>
        <v>1267294</v>
      </c>
      <c r="M31" s="21"/>
      <c r="N31" s="21"/>
      <c r="O31" s="21"/>
      <c r="P31" s="21"/>
      <c r="Q31" s="21"/>
      <c r="R31" s="21"/>
      <c r="S31" s="21"/>
      <c r="T31" s="21"/>
      <c r="U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4" x14ac:dyDescent="0.25">
      <c r="A32" s="25" t="s">
        <v>293</v>
      </c>
      <c r="B32" s="21"/>
      <c r="C32" s="21"/>
      <c r="D32" s="21"/>
      <c r="E32" s="21">
        <v>300000</v>
      </c>
      <c r="F32" s="21"/>
      <c r="G32" s="21">
        <v>647639</v>
      </c>
      <c r="H32" s="21">
        <v>619653</v>
      </c>
      <c r="I32" s="21">
        <v>199138</v>
      </c>
      <c r="J32" s="21"/>
      <c r="K32" s="21">
        <v>92499</v>
      </c>
      <c r="L32" s="21">
        <f>814598+229528</f>
        <v>1044126</v>
      </c>
      <c r="M32" s="21">
        <v>388143</v>
      </c>
      <c r="N32" s="21">
        <v>149145</v>
      </c>
      <c r="O32" s="53">
        <v>517316</v>
      </c>
      <c r="P32" s="21"/>
      <c r="Q32" s="21">
        <v>760811</v>
      </c>
      <c r="R32" s="21">
        <v>58793</v>
      </c>
      <c r="S32" s="21">
        <v>388630</v>
      </c>
      <c r="T32" s="21">
        <v>113070</v>
      </c>
      <c r="U32" s="21">
        <v>246192</v>
      </c>
      <c r="V32" s="21">
        <v>439706</v>
      </c>
      <c r="W32" s="21"/>
      <c r="X32" s="21"/>
      <c r="Y32" s="21"/>
      <c r="Z32" s="21">
        <v>1129651</v>
      </c>
      <c r="AA32" s="21"/>
      <c r="AB32" s="21">
        <v>1621596</v>
      </c>
      <c r="AC32" s="21">
        <v>500190</v>
      </c>
      <c r="AD32" s="21"/>
      <c r="AE32" s="21">
        <v>138045</v>
      </c>
      <c r="AF32" s="21">
        <v>900289</v>
      </c>
      <c r="AG32" s="21"/>
      <c r="AH32" s="21">
        <v>867736</v>
      </c>
    </row>
    <row r="33" spans="1:34" x14ac:dyDescent="0.25">
      <c r="A33" s="25" t="s">
        <v>289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>
        <v>603894</v>
      </c>
      <c r="R33" s="21"/>
      <c r="S33" s="21"/>
      <c r="T33" s="21"/>
      <c r="U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4" x14ac:dyDescent="0.25">
      <c r="A34" s="25" t="s">
        <v>294</v>
      </c>
      <c r="B34" s="21"/>
      <c r="C34" s="21"/>
      <c r="D34" s="21"/>
      <c r="E34" s="21"/>
      <c r="F34" s="21"/>
      <c r="G34" s="21">
        <v>1388</v>
      </c>
      <c r="H34" s="21"/>
      <c r="I34" s="21">
        <v>96251</v>
      </c>
      <c r="J34" s="21"/>
      <c r="K34" s="21"/>
      <c r="L34" s="21">
        <v>178952</v>
      </c>
      <c r="M34" s="21"/>
      <c r="N34" s="21"/>
      <c r="O34" s="53">
        <v>491710</v>
      </c>
      <c r="P34" s="21"/>
      <c r="Q34" s="21">
        <v>232614</v>
      </c>
      <c r="R34" s="21"/>
      <c r="S34" s="21"/>
      <c r="T34" s="21">
        <v>51838</v>
      </c>
      <c r="U34" s="21">
        <v>237523</v>
      </c>
      <c r="V34" s="21">
        <v>86099</v>
      </c>
      <c r="W34" s="21"/>
      <c r="X34" s="21"/>
      <c r="Y34" s="21"/>
      <c r="Z34" s="21">
        <v>31180</v>
      </c>
      <c r="AA34" s="21"/>
      <c r="AB34" s="21">
        <v>175114</v>
      </c>
      <c r="AC34" s="21">
        <v>10000</v>
      </c>
      <c r="AD34" s="21"/>
      <c r="AE34" s="21"/>
      <c r="AF34" s="21">
        <v>200638</v>
      </c>
      <c r="AG34" s="21"/>
      <c r="AH34" s="21"/>
    </row>
    <row r="35" spans="1:34" x14ac:dyDescent="0.25">
      <c r="A35" s="25" t="s">
        <v>295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31699</v>
      </c>
      <c r="AC35" s="21"/>
      <c r="AD35" s="21"/>
      <c r="AE35" s="21"/>
      <c r="AF35" s="21"/>
      <c r="AG35" s="21"/>
      <c r="AH35" s="21"/>
    </row>
    <row r="36" spans="1:34" x14ac:dyDescent="0.25">
      <c r="A36" s="25" t="s">
        <v>375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>
        <v>219588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34" x14ac:dyDescent="0.25">
      <c r="A37" s="25" t="s">
        <v>95</v>
      </c>
      <c r="B37" s="21"/>
      <c r="C37" s="21"/>
      <c r="D37" s="21"/>
      <c r="E37" s="21">
        <v>50000</v>
      </c>
      <c r="F37" s="21"/>
      <c r="G37" s="21">
        <v>166370</v>
      </c>
      <c r="H37" s="21">
        <v>43232</v>
      </c>
      <c r="I37" s="21"/>
      <c r="J37" s="21"/>
      <c r="K37" s="21">
        <v>37415</v>
      </c>
      <c r="L37" s="21">
        <v>421741</v>
      </c>
      <c r="M37" s="21">
        <v>47348</v>
      </c>
      <c r="N37" s="21">
        <v>1002011</v>
      </c>
      <c r="O37" s="53">
        <v>1522012</v>
      </c>
      <c r="P37" s="21"/>
      <c r="Q37" s="21">
        <v>614327</v>
      </c>
      <c r="R37" s="21">
        <v>67965</v>
      </c>
      <c r="S37" s="21">
        <v>97310</v>
      </c>
      <c r="T37" s="21">
        <v>47854</v>
      </c>
      <c r="U37" s="21"/>
      <c r="V37" s="21">
        <v>202056.7875004599</v>
      </c>
      <c r="W37" s="21"/>
      <c r="X37" s="21"/>
      <c r="Y37" s="21"/>
      <c r="Z37" s="21">
        <v>256347</v>
      </c>
      <c r="AA37" s="21"/>
      <c r="AB37" s="21">
        <v>443128</v>
      </c>
      <c r="AC37" s="21">
        <v>1081799</v>
      </c>
      <c r="AD37" s="21"/>
      <c r="AE37" s="21">
        <v>92498</v>
      </c>
      <c r="AF37" s="21">
        <v>1400294</v>
      </c>
      <c r="AG37" s="21"/>
      <c r="AH37" s="21">
        <v>176979</v>
      </c>
    </row>
    <row r="38" spans="1:34" x14ac:dyDescent="0.25">
      <c r="A38" s="25" t="s">
        <v>191</v>
      </c>
      <c r="B38" s="21"/>
      <c r="C38" s="21"/>
      <c r="D38" s="21"/>
      <c r="E38" s="21"/>
      <c r="F38" s="21"/>
      <c r="G38" s="21">
        <v>82960</v>
      </c>
      <c r="H38" s="21">
        <v>39229</v>
      </c>
      <c r="I38" s="21"/>
      <c r="J38" s="21">
        <v>99000</v>
      </c>
      <c r="K38" s="21"/>
      <c r="L38" s="21"/>
      <c r="M38" s="21"/>
      <c r="N38" s="21"/>
      <c r="O38" s="53">
        <v>145716</v>
      </c>
      <c r="P38" s="21"/>
      <c r="Q38" s="21">
        <v>70251</v>
      </c>
      <c r="R38" s="21"/>
      <c r="S38" s="21"/>
      <c r="T38" s="21"/>
      <c r="U38" s="21"/>
      <c r="V38" s="21"/>
      <c r="W38" s="21"/>
      <c r="X38" s="21"/>
      <c r="Y38" s="21"/>
      <c r="Z38" s="21">
        <v>52477</v>
      </c>
      <c r="AA38" s="21"/>
      <c r="AB38" s="21">
        <v>25127</v>
      </c>
      <c r="AC38" s="21"/>
      <c r="AD38" s="21"/>
      <c r="AE38" s="21"/>
      <c r="AF38" s="21"/>
      <c r="AG38" s="21"/>
      <c r="AH38" s="21">
        <v>25731</v>
      </c>
    </row>
    <row r="39" spans="1:34" s="15" customFormat="1" x14ac:dyDescent="0.25">
      <c r="A39" s="23" t="s">
        <v>193</v>
      </c>
      <c r="B39" s="24"/>
      <c r="C39" s="24">
        <f>SUM(C24:C38)</f>
        <v>0</v>
      </c>
      <c r="D39" s="24"/>
      <c r="E39" s="24">
        <f>SUM(E24:E38)</f>
        <v>629845</v>
      </c>
      <c r="F39" s="24"/>
      <c r="G39" s="24">
        <f>SUM(G24:G38)</f>
        <v>1209682</v>
      </c>
      <c r="H39" s="24">
        <v>826439</v>
      </c>
      <c r="I39" s="24">
        <f>SUM(I24:I38)</f>
        <v>354080</v>
      </c>
      <c r="J39" s="24">
        <f>SUM(J24:J38)</f>
        <v>143512</v>
      </c>
      <c r="K39" s="24">
        <f>SUM(K24:K38)</f>
        <v>205824</v>
      </c>
      <c r="L39" s="24">
        <v>4298038</v>
      </c>
      <c r="M39" s="24">
        <v>866249</v>
      </c>
      <c r="N39" s="24">
        <v>1151156</v>
      </c>
      <c r="O39" s="24">
        <f>SUM(O24:O38)</f>
        <v>3967354</v>
      </c>
      <c r="P39" s="24"/>
      <c r="Q39" s="24">
        <f>SUM(Q24:Q38)</f>
        <v>4354101</v>
      </c>
      <c r="R39" s="24">
        <f>SUM(R24:R38)</f>
        <v>223563</v>
      </c>
      <c r="S39" s="24">
        <f>SUM(S24:S38)</f>
        <v>886157</v>
      </c>
      <c r="T39" s="24">
        <v>324020</v>
      </c>
      <c r="U39" s="24">
        <f>SUM(U24:U38)</f>
        <v>865796</v>
      </c>
      <c r="V39" s="24"/>
      <c r="W39" s="24"/>
      <c r="X39" s="24"/>
      <c r="Y39" s="24"/>
      <c r="Z39" s="24">
        <f>SUM(Z24:Z38)</f>
        <v>2035231</v>
      </c>
      <c r="AA39" s="24"/>
      <c r="AB39" s="24">
        <f>SUM(AB24:AB38)</f>
        <v>3214153</v>
      </c>
      <c r="AC39" s="24">
        <f>SUM(AC24:AC38)</f>
        <v>1591989</v>
      </c>
      <c r="AD39" s="24">
        <v>709</v>
      </c>
      <c r="AE39" s="24">
        <f>SUM(AE24:AE38)</f>
        <v>574795</v>
      </c>
      <c r="AF39" s="24">
        <f>SUM(AF24:AF38)</f>
        <v>3870807</v>
      </c>
      <c r="AG39" s="24"/>
      <c r="AH39" s="24">
        <f>SUM(AH24:AH38)</f>
        <v>2158644</v>
      </c>
    </row>
    <row r="40" spans="1:34" s="15" customFormat="1" x14ac:dyDescent="0.25">
      <c r="A40" s="23" t="s">
        <v>61</v>
      </c>
      <c r="B40" s="24"/>
      <c r="C40" s="24">
        <v>1341257</v>
      </c>
      <c r="D40" s="24"/>
      <c r="E40" s="24">
        <v>1251559</v>
      </c>
      <c r="F40" s="24"/>
      <c r="G40" s="24">
        <v>5504544</v>
      </c>
      <c r="H40" s="24">
        <v>7797988</v>
      </c>
      <c r="I40" s="24">
        <v>1851946</v>
      </c>
      <c r="J40" s="24">
        <v>600447</v>
      </c>
      <c r="K40" s="24">
        <v>1269026</v>
      </c>
      <c r="L40" s="24">
        <v>38878436</v>
      </c>
      <c r="M40" s="24">
        <v>7049139</v>
      </c>
      <c r="N40" s="24">
        <v>5177975</v>
      </c>
      <c r="O40" s="55">
        <v>23750539</v>
      </c>
      <c r="P40" s="24"/>
      <c r="Q40" s="24">
        <v>19988717</v>
      </c>
      <c r="R40" s="24">
        <v>968494</v>
      </c>
      <c r="S40" s="24">
        <v>5341306</v>
      </c>
      <c r="T40" s="24">
        <v>2179079</v>
      </c>
      <c r="U40" s="24">
        <v>2884570</v>
      </c>
      <c r="V40" s="24">
        <v>20284391.583709426</v>
      </c>
      <c r="W40" s="24"/>
      <c r="X40" s="24"/>
      <c r="Y40" s="24"/>
      <c r="Z40" s="24">
        <v>12271577</v>
      </c>
      <c r="AA40" s="24"/>
      <c r="AB40" s="24">
        <v>10616777</v>
      </c>
      <c r="AC40" s="24">
        <v>16423815</v>
      </c>
      <c r="AD40" s="24">
        <v>6934922</v>
      </c>
      <c r="AE40" s="24">
        <v>9500517</v>
      </c>
      <c r="AF40" s="24">
        <v>22442343</v>
      </c>
      <c r="AG40" s="24"/>
      <c r="AH40" s="24">
        <v>5132598</v>
      </c>
    </row>
    <row r="41" spans="1:34" x14ac:dyDescent="0.25">
      <c r="A41" s="25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x14ac:dyDescent="0.25">
      <c r="A42" s="66" t="s">
        <v>195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s="15" customFormat="1" x14ac:dyDescent="0.25">
      <c r="A43" s="23" t="s">
        <v>0</v>
      </c>
      <c r="B43" s="24" t="s">
        <v>1</v>
      </c>
      <c r="C43" s="24" t="s">
        <v>2</v>
      </c>
      <c r="D43" s="24" t="s">
        <v>3</v>
      </c>
      <c r="E43" s="24" t="s">
        <v>4</v>
      </c>
      <c r="F43" s="24" t="s">
        <v>5</v>
      </c>
      <c r="G43" s="24" t="s">
        <v>6</v>
      </c>
      <c r="H43" s="24" t="s">
        <v>7</v>
      </c>
      <c r="I43" s="24" t="s">
        <v>8</v>
      </c>
      <c r="J43" s="24" t="s">
        <v>9</v>
      </c>
      <c r="K43" s="24" t="s">
        <v>10</v>
      </c>
      <c r="L43" s="24" t="s">
        <v>11</v>
      </c>
      <c r="M43" s="24" t="s">
        <v>12</v>
      </c>
      <c r="N43" s="24" t="s">
        <v>13</v>
      </c>
      <c r="O43" s="24" t="s">
        <v>14</v>
      </c>
      <c r="P43" s="24" t="s">
        <v>15</v>
      </c>
      <c r="Q43" s="24" t="s">
        <v>16</v>
      </c>
      <c r="R43" s="24" t="s">
        <v>17</v>
      </c>
      <c r="S43" s="24" t="s">
        <v>18</v>
      </c>
      <c r="T43" s="24" t="s">
        <v>19</v>
      </c>
      <c r="U43" s="24" t="s">
        <v>20</v>
      </c>
      <c r="V43" s="24" t="s">
        <v>21</v>
      </c>
      <c r="W43" s="24" t="s">
        <v>161</v>
      </c>
      <c r="X43" s="24" t="s">
        <v>162</v>
      </c>
      <c r="Y43" s="24" t="s">
        <v>22</v>
      </c>
      <c r="Z43" s="24" t="s">
        <v>23</v>
      </c>
      <c r="AA43" s="24" t="s">
        <v>24</v>
      </c>
      <c r="AB43" s="24" t="s">
        <v>25</v>
      </c>
      <c r="AC43" s="24" t="s">
        <v>26</v>
      </c>
      <c r="AD43" s="24" t="s">
        <v>27</v>
      </c>
      <c r="AE43" s="24" t="s">
        <v>28</v>
      </c>
      <c r="AF43" s="24" t="s">
        <v>29</v>
      </c>
      <c r="AG43" s="24" t="s">
        <v>30</v>
      </c>
      <c r="AH43" s="24" t="s">
        <v>31</v>
      </c>
    </row>
    <row r="44" spans="1:34" s="15" customFormat="1" x14ac:dyDescent="0.25">
      <c r="A44" s="23" t="s">
        <v>86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</row>
    <row r="45" spans="1:34" ht="30" x14ac:dyDescent="0.25">
      <c r="A45" s="25" t="s">
        <v>87</v>
      </c>
      <c r="B45" s="21"/>
      <c r="C45" s="21">
        <v>351320</v>
      </c>
      <c r="D45" s="21"/>
      <c r="E45" s="21">
        <v>4104710</v>
      </c>
      <c r="F45" s="21"/>
      <c r="G45" s="21">
        <v>9645257</v>
      </c>
      <c r="H45" s="21">
        <v>22826389</v>
      </c>
      <c r="I45" s="21">
        <v>779972</v>
      </c>
      <c r="J45" s="21">
        <v>255177</v>
      </c>
      <c r="K45" s="21">
        <v>149278</v>
      </c>
      <c r="L45" s="21">
        <f>13269560+8274558</f>
        <v>21544118</v>
      </c>
      <c r="M45" s="21">
        <v>9633607</v>
      </c>
      <c r="N45" s="21">
        <v>3653265</v>
      </c>
      <c r="O45" s="53">
        <v>18168181</v>
      </c>
      <c r="P45" s="21"/>
      <c r="Q45" s="21">
        <v>18329665</v>
      </c>
      <c r="R45" s="21">
        <v>862944</v>
      </c>
      <c r="S45" s="21">
        <v>1933372</v>
      </c>
      <c r="T45" s="21">
        <v>3329257</v>
      </c>
      <c r="U45" s="21">
        <v>1092326</v>
      </c>
      <c r="V45" s="21">
        <v>69126773.18790786</v>
      </c>
      <c r="W45" s="21"/>
      <c r="X45" s="21"/>
      <c r="Y45" s="21"/>
      <c r="Z45" s="21">
        <v>24700458</v>
      </c>
      <c r="AA45" s="21"/>
      <c r="AB45" s="21">
        <v>11852808</v>
      </c>
      <c r="AC45" s="21">
        <v>13715343</v>
      </c>
      <c r="AD45" s="21">
        <v>24175554</v>
      </c>
      <c r="AE45" s="21">
        <v>7780352</v>
      </c>
      <c r="AF45" s="21">
        <v>23761892</v>
      </c>
      <c r="AG45" s="21"/>
      <c r="AH45" s="21">
        <v>6547172</v>
      </c>
    </row>
    <row r="46" spans="1:34" x14ac:dyDescent="0.25">
      <c r="A46" s="25" t="s">
        <v>88</v>
      </c>
      <c r="B46" s="21"/>
      <c r="C46" s="21">
        <v>50754</v>
      </c>
      <c r="D46" s="21"/>
      <c r="E46" s="21"/>
      <c r="F46" s="21"/>
      <c r="G46" s="21"/>
      <c r="H46" s="21"/>
      <c r="I46" s="21">
        <v>413166</v>
      </c>
      <c r="J46" s="21">
        <v>149987</v>
      </c>
      <c r="K46" s="21"/>
      <c r="L46" s="21">
        <v>409865</v>
      </c>
      <c r="M46" s="21"/>
      <c r="N46" s="21">
        <v>155933</v>
      </c>
      <c r="O46" s="53">
        <v>6100204</v>
      </c>
      <c r="P46" s="21"/>
      <c r="Q46" s="21"/>
      <c r="R46" s="21"/>
      <c r="S46" s="21">
        <v>1217892</v>
      </c>
      <c r="T46" s="21">
        <v>561330</v>
      </c>
      <c r="U46" s="21"/>
      <c r="V46" s="21">
        <v>254910.00523943981</v>
      </c>
      <c r="W46" s="21"/>
      <c r="X46" s="21"/>
      <c r="Y46" s="21"/>
      <c r="Z46" s="21">
        <v>7781319</v>
      </c>
      <c r="AA46" s="21"/>
      <c r="AB46" s="21"/>
      <c r="AC46" s="21">
        <v>5476462</v>
      </c>
      <c r="AD46" s="21">
        <v>321112</v>
      </c>
      <c r="AE46" s="21"/>
      <c r="AF46" s="21" t="s">
        <v>182</v>
      </c>
      <c r="AG46" s="21"/>
      <c r="AH46" s="21"/>
    </row>
    <row r="47" spans="1:34" x14ac:dyDescent="0.25">
      <c r="A47" s="25" t="s">
        <v>89</v>
      </c>
      <c r="B47" s="21"/>
      <c r="C47" s="21"/>
      <c r="D47" s="21"/>
      <c r="E47" s="21"/>
      <c r="F47" s="21"/>
      <c r="G47" s="21"/>
      <c r="H47" s="21">
        <v>100341</v>
      </c>
      <c r="I47" s="21"/>
      <c r="J47" s="21"/>
      <c r="K47" s="21"/>
      <c r="L47" s="21">
        <v>1447165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1:34" x14ac:dyDescent="0.25">
      <c r="A48" s="25" t="s">
        <v>90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x14ac:dyDescent="0.25">
      <c r="A49" s="25" t="s">
        <v>91</v>
      </c>
      <c r="B49" s="21"/>
      <c r="C49" s="21"/>
      <c r="D49" s="21"/>
      <c r="E49" s="21"/>
      <c r="F49" s="21"/>
      <c r="G49" s="21">
        <v>306181</v>
      </c>
      <c r="H49" s="21">
        <v>1219989</v>
      </c>
      <c r="I49" s="21"/>
      <c r="J49" s="21"/>
      <c r="K49" s="21"/>
      <c r="L49" s="21">
        <v>8183521</v>
      </c>
      <c r="M49" s="21">
        <v>228089</v>
      </c>
      <c r="N49" s="21"/>
      <c r="O49" s="53">
        <v>2600514</v>
      </c>
      <c r="P49" s="21"/>
      <c r="Q49" s="21">
        <v>23619</v>
      </c>
      <c r="R49" s="21">
        <v>19799</v>
      </c>
      <c r="S49" s="21"/>
      <c r="T49" s="21"/>
      <c r="U49" s="21"/>
      <c r="V49" s="21">
        <v>100614434.8461559</v>
      </c>
      <c r="W49" s="21"/>
      <c r="X49" s="21"/>
      <c r="Y49" s="21"/>
      <c r="Z49" s="21">
        <v>1256655</v>
      </c>
      <c r="AA49" s="21"/>
      <c r="AB49" s="21"/>
      <c r="AC49" s="21"/>
      <c r="AD49" s="21"/>
      <c r="AE49" s="21"/>
      <c r="AF49" s="21">
        <v>5388817</v>
      </c>
      <c r="AG49" s="21"/>
      <c r="AH49" s="21"/>
    </row>
    <row r="50" spans="1:34" x14ac:dyDescent="0.25">
      <c r="A50" s="25" t="s">
        <v>92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53">
        <v>53757</v>
      </c>
      <c r="P50" s="21"/>
      <c r="Q50" s="21"/>
      <c r="R50" s="21"/>
      <c r="S50" s="21"/>
      <c r="T50" s="21">
        <v>48000</v>
      </c>
      <c r="U50" s="21"/>
      <c r="V50" s="21">
        <v>4789.0933886536623</v>
      </c>
      <c r="W50" s="21"/>
      <c r="X50" s="21"/>
      <c r="Y50" s="21"/>
      <c r="Z50" s="21"/>
      <c r="AA50" s="21"/>
      <c r="AB50" s="21"/>
      <c r="AC50" s="21"/>
      <c r="AD50" s="21"/>
      <c r="AE50" s="21"/>
      <c r="AF50" s="21" t="s">
        <v>182</v>
      </c>
      <c r="AG50" s="21"/>
      <c r="AH50" s="21"/>
    </row>
    <row r="51" spans="1:34" x14ac:dyDescent="0.25">
      <c r="A51" s="25" t="s">
        <v>93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 t="s">
        <v>182</v>
      </c>
      <c r="AG51" s="21"/>
      <c r="AH51" s="21"/>
    </row>
    <row r="52" spans="1:34" x14ac:dyDescent="0.25">
      <c r="A52" s="25" t="s">
        <v>94</v>
      </c>
      <c r="B52" s="21"/>
      <c r="C52" s="21">
        <v>248309</v>
      </c>
      <c r="D52" s="21"/>
      <c r="E52" s="21">
        <v>2678647</v>
      </c>
      <c r="F52" s="21"/>
      <c r="G52" s="21">
        <v>8182570</v>
      </c>
      <c r="H52" s="21">
        <v>19668581</v>
      </c>
      <c r="I52" s="21">
        <v>749822</v>
      </c>
      <c r="J52" s="21">
        <v>496809</v>
      </c>
      <c r="K52" s="21"/>
      <c r="L52" s="21">
        <f>6592894+2523681</f>
        <v>9116575</v>
      </c>
      <c r="M52" s="21">
        <v>5703049</v>
      </c>
      <c r="N52" s="21">
        <v>643367</v>
      </c>
      <c r="O52" s="53">
        <v>10704856</v>
      </c>
      <c r="P52" s="21"/>
      <c r="Q52" s="21">
        <v>6338999</v>
      </c>
      <c r="R52" s="21">
        <v>457724</v>
      </c>
      <c r="S52" s="21">
        <v>3767548</v>
      </c>
      <c r="T52" s="21">
        <v>3979003</v>
      </c>
      <c r="U52" s="21">
        <v>999163</v>
      </c>
      <c r="V52" s="21">
        <v>19534651.484782692</v>
      </c>
      <c r="W52" s="21"/>
      <c r="X52" s="21"/>
      <c r="Y52" s="21"/>
      <c r="Z52" s="21">
        <v>29036735</v>
      </c>
      <c r="AA52" s="21"/>
      <c r="AB52" s="21">
        <v>8793908</v>
      </c>
      <c r="AC52" s="21">
        <v>5168782</v>
      </c>
      <c r="AD52" s="21">
        <v>5849738</v>
      </c>
      <c r="AE52" s="21">
        <v>1568466</v>
      </c>
      <c r="AF52" s="21">
        <v>12180765</v>
      </c>
      <c r="AG52" s="21"/>
      <c r="AH52" s="21">
        <v>2762140</v>
      </c>
    </row>
    <row r="53" spans="1:34" x14ac:dyDescent="0.25">
      <c r="A53" s="25" t="s">
        <v>296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2225726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5" t="s">
        <v>297</v>
      </c>
      <c r="B54" s="21"/>
      <c r="C54" s="21"/>
      <c r="D54" s="21"/>
      <c r="E54" s="21">
        <v>920906</v>
      </c>
      <c r="F54" s="21"/>
      <c r="G54" s="21"/>
      <c r="H54" s="21"/>
      <c r="I54" s="21"/>
      <c r="J54" s="21"/>
      <c r="K54" s="21"/>
      <c r="L54" s="21"/>
      <c r="M54" s="21"/>
      <c r="N54" s="21"/>
      <c r="O54" s="53">
        <v>336110</v>
      </c>
      <c r="P54" s="21"/>
      <c r="Q54" s="21"/>
      <c r="R54" s="21"/>
      <c r="S54" s="21"/>
      <c r="T54" s="21">
        <v>168168</v>
      </c>
      <c r="U54" s="21"/>
      <c r="V54" s="21"/>
      <c r="W54" s="21"/>
      <c r="X54" s="21"/>
      <c r="Y54" s="21"/>
      <c r="Z54" s="21">
        <v>437640</v>
      </c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5" t="s">
        <v>290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>
        <v>39527</v>
      </c>
      <c r="N55" s="21"/>
      <c r="O55" s="21"/>
      <c r="P55" s="21"/>
      <c r="Q55" s="21">
        <v>3829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5" t="s">
        <v>291</v>
      </c>
      <c r="B56" s="21"/>
      <c r="C56" s="21"/>
      <c r="D56" s="21"/>
      <c r="E56" s="21"/>
      <c r="F56" s="21"/>
      <c r="G56" s="21">
        <v>665419</v>
      </c>
      <c r="H56" s="21">
        <v>257097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5" t="s">
        <v>383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v>1001144.9068077358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x14ac:dyDescent="0.25">
      <c r="A58" s="25" t="s">
        <v>95</v>
      </c>
      <c r="B58" s="21"/>
      <c r="C58" s="21">
        <v>1311091</v>
      </c>
      <c r="D58" s="21"/>
      <c r="E58" s="21">
        <v>1471459</v>
      </c>
      <c r="F58" s="21"/>
      <c r="G58" s="21">
        <v>7321254</v>
      </c>
      <c r="H58" s="21">
        <v>11918907</v>
      </c>
      <c r="I58" s="21">
        <v>647031</v>
      </c>
      <c r="J58" s="21">
        <v>252075</v>
      </c>
      <c r="K58" s="21"/>
      <c r="L58" s="21">
        <v>14530028</v>
      </c>
      <c r="M58" s="21">
        <v>8722436</v>
      </c>
      <c r="N58" s="21">
        <v>245780</v>
      </c>
      <c r="O58" s="53">
        <v>17948264</v>
      </c>
      <c r="P58" s="21"/>
      <c r="Q58" s="21">
        <v>22883086</v>
      </c>
      <c r="R58" s="21">
        <v>910128</v>
      </c>
      <c r="S58" s="21">
        <v>2390462</v>
      </c>
      <c r="T58" s="21">
        <v>1714516</v>
      </c>
      <c r="U58" s="21">
        <v>601797</v>
      </c>
      <c r="V58" s="21">
        <v>14870977.573781012</v>
      </c>
      <c r="W58" s="21"/>
      <c r="X58" s="21"/>
      <c r="Y58" s="21"/>
      <c r="Z58" s="21">
        <v>7541156</v>
      </c>
      <c r="AA58" s="21"/>
      <c r="AB58" s="21">
        <v>6227742</v>
      </c>
      <c r="AC58" s="21">
        <v>8335511</v>
      </c>
      <c r="AD58" s="21">
        <v>12777310</v>
      </c>
      <c r="AE58" s="21">
        <v>5726006</v>
      </c>
      <c r="AF58" s="21">
        <v>16590431</v>
      </c>
      <c r="AG58" s="21"/>
      <c r="AH58" s="21">
        <v>5143533</v>
      </c>
    </row>
    <row r="59" spans="1:34" x14ac:dyDescent="0.25">
      <c r="A59" s="25" t="s">
        <v>191</v>
      </c>
      <c r="B59" s="21"/>
      <c r="C59" s="21"/>
      <c r="D59" s="21"/>
      <c r="E59" s="21"/>
      <c r="F59" s="21"/>
      <c r="G59" s="21">
        <v>527268</v>
      </c>
      <c r="H59" s="21">
        <v>1541408</v>
      </c>
      <c r="I59" s="21"/>
      <c r="J59" s="21"/>
      <c r="K59" s="21"/>
      <c r="L59" s="21"/>
      <c r="M59" s="21">
        <v>179232</v>
      </c>
      <c r="N59" s="21"/>
      <c r="O59" s="21">
        <v>973343</v>
      </c>
      <c r="P59" s="21"/>
      <c r="Q59" s="21">
        <v>1326197</v>
      </c>
      <c r="R59" s="21"/>
      <c r="S59" s="21"/>
      <c r="T59" s="21"/>
      <c r="U59" s="21">
        <v>299917</v>
      </c>
      <c r="V59" s="21"/>
      <c r="W59" s="21"/>
      <c r="X59" s="21"/>
      <c r="Y59" s="21"/>
      <c r="Z59" s="21">
        <v>1084328</v>
      </c>
      <c r="AA59" s="21"/>
      <c r="AB59" s="21">
        <v>751812</v>
      </c>
      <c r="AC59" s="21"/>
      <c r="AD59" s="21"/>
      <c r="AE59" s="21">
        <v>123028</v>
      </c>
      <c r="AF59" s="21">
        <v>2973543</v>
      </c>
      <c r="AG59" s="21"/>
      <c r="AH59" s="21">
        <v>212006</v>
      </c>
    </row>
    <row r="60" spans="1:34" s="15" customFormat="1" x14ac:dyDescent="0.25">
      <c r="A60" s="23" t="s">
        <v>192</v>
      </c>
      <c r="B60" s="24"/>
      <c r="C60" s="24">
        <f>SUM(C45:C59)</f>
        <v>1961474</v>
      </c>
      <c r="D60" s="24"/>
      <c r="E60" s="24">
        <f>SUM(E45:E59)</f>
        <v>9175722</v>
      </c>
      <c r="F60" s="24"/>
      <c r="G60" s="24">
        <f>SUM(G45:G59)</f>
        <v>26647949</v>
      </c>
      <c r="H60" s="24">
        <v>57532712</v>
      </c>
      <c r="I60" s="24">
        <f>SUM(I45:I59)</f>
        <v>2589991</v>
      </c>
      <c r="J60" s="24">
        <f>SUM(J45:J59)</f>
        <v>1154048</v>
      </c>
      <c r="K60" s="24"/>
      <c r="L60" s="24">
        <v>55231273</v>
      </c>
      <c r="M60" s="24">
        <v>24505941</v>
      </c>
      <c r="N60" s="24">
        <v>4698346</v>
      </c>
      <c r="O60" s="24">
        <f>SUM(O45:O59)</f>
        <v>56885229</v>
      </c>
      <c r="P60" s="24"/>
      <c r="Q60" s="24">
        <f>SUM(Q45:Q59)</f>
        <v>51131121</v>
      </c>
      <c r="R60" s="24">
        <f>SUM(R45:R59)</f>
        <v>2250595</v>
      </c>
      <c r="S60" s="24">
        <f>SUM(S45:S59)</f>
        <v>9309274</v>
      </c>
      <c r="T60" s="24">
        <v>9800274</v>
      </c>
      <c r="U60" s="24">
        <f>SUM(U45:U59)</f>
        <v>2993203</v>
      </c>
      <c r="V60" s="24"/>
      <c r="W60" s="24"/>
      <c r="X60" s="24"/>
      <c r="Y60" s="24"/>
      <c r="Z60" s="24">
        <f>SUM(Z45:Z59)</f>
        <v>71838291</v>
      </c>
      <c r="AA60" s="24"/>
      <c r="AB60" s="24">
        <f>SUM(AB45:AB59)</f>
        <v>27626270</v>
      </c>
      <c r="AC60" s="24">
        <f>SUM(AC45:AC59)</f>
        <v>32696098</v>
      </c>
      <c r="AD60" s="24">
        <v>43123715</v>
      </c>
      <c r="AE60" s="24">
        <f>SUM(AE45:AE59)</f>
        <v>15197852</v>
      </c>
      <c r="AF60" s="24">
        <f>SUM(AF45:AF59)</f>
        <v>60895448</v>
      </c>
      <c r="AG60" s="24"/>
      <c r="AH60" s="24">
        <f>SUM(AH45:AH59)</f>
        <v>14664851</v>
      </c>
    </row>
    <row r="61" spans="1:34" s="15" customFormat="1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</row>
    <row r="62" spans="1:34" s="15" customFormat="1" x14ac:dyDescent="0.25">
      <c r="A62" s="23" t="s">
        <v>96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</row>
    <row r="63" spans="1:34" ht="30" x14ac:dyDescent="0.25">
      <c r="A63" s="25" t="s">
        <v>87</v>
      </c>
      <c r="B63" s="21"/>
      <c r="C63" s="21"/>
      <c r="D63" s="21"/>
      <c r="E63" s="21">
        <v>167417</v>
      </c>
      <c r="F63" s="21"/>
      <c r="G63" s="21">
        <v>970971</v>
      </c>
      <c r="H63" s="21">
        <v>89239</v>
      </c>
      <c r="I63" s="21"/>
      <c r="J63" s="21"/>
      <c r="K63" s="21"/>
      <c r="L63" s="21">
        <f>498682+1672451</f>
        <v>2171133</v>
      </c>
      <c r="M63" s="21">
        <v>836975</v>
      </c>
      <c r="N63" s="21"/>
      <c r="O63" s="53">
        <v>1375959</v>
      </c>
      <c r="P63" s="21"/>
      <c r="Q63" s="21">
        <v>3858858</v>
      </c>
      <c r="R63" s="21">
        <v>212494</v>
      </c>
      <c r="S63" s="21">
        <v>500145</v>
      </c>
      <c r="T63" s="21"/>
      <c r="U63" s="21">
        <v>298698</v>
      </c>
      <c r="V63" s="21">
        <v>553798</v>
      </c>
      <c r="W63" s="21"/>
      <c r="X63" s="21"/>
      <c r="Y63" s="21"/>
      <c r="Z63" s="21">
        <v>2160736</v>
      </c>
      <c r="AA63" s="21"/>
      <c r="AB63" s="21">
        <v>354585</v>
      </c>
      <c r="AC63" s="21">
        <v>442642</v>
      </c>
      <c r="AD63" s="21">
        <v>737873</v>
      </c>
      <c r="AE63" s="21"/>
      <c r="AF63" s="21">
        <v>375631</v>
      </c>
      <c r="AG63" s="21"/>
      <c r="AH63" s="21">
        <v>3560755</v>
      </c>
    </row>
    <row r="64" spans="1:34" x14ac:dyDescent="0.25">
      <c r="A64" s="25" t="s">
        <v>88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>
        <v>1998813</v>
      </c>
      <c r="R64" s="21"/>
      <c r="S64" s="21"/>
      <c r="T64" s="21"/>
      <c r="U64" s="21"/>
      <c r="V64" s="21"/>
      <c r="W64" s="21"/>
      <c r="X64" s="21"/>
      <c r="Y64" s="21"/>
      <c r="Z64" s="21">
        <v>338445</v>
      </c>
      <c r="AA64" s="21"/>
      <c r="AB64" s="21"/>
      <c r="AC64" s="21"/>
      <c r="AD64" s="21"/>
      <c r="AE64" s="21"/>
      <c r="AF64" s="21"/>
      <c r="AG64" s="21"/>
      <c r="AH64" s="21"/>
    </row>
    <row r="65" spans="1:34" x14ac:dyDescent="0.25">
      <c r="A65" s="25" t="s">
        <v>89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>
        <v>188685</v>
      </c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>
        <v>1235990</v>
      </c>
      <c r="AE65" s="21"/>
      <c r="AF65" s="21"/>
      <c r="AG65" s="21"/>
      <c r="AH65" s="21"/>
    </row>
    <row r="66" spans="1:34" x14ac:dyDescent="0.25">
      <c r="A66" s="25" t="s">
        <v>90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1:34" x14ac:dyDescent="0.25">
      <c r="A67" s="25" t="s">
        <v>91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>
        <v>101893</v>
      </c>
      <c r="AA67" s="21"/>
      <c r="AB67" s="21">
        <v>2220335</v>
      </c>
      <c r="AC67" s="21"/>
      <c r="AD67" s="21"/>
      <c r="AE67" s="21"/>
      <c r="AF67" s="21"/>
      <c r="AG67" s="21"/>
      <c r="AH67" s="21">
        <v>234671</v>
      </c>
    </row>
    <row r="68" spans="1:34" x14ac:dyDescent="0.25">
      <c r="A68" s="25" t="s">
        <v>92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>
        <v>16000</v>
      </c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x14ac:dyDescent="0.25">
      <c r="A69" s="25" t="s">
        <v>93</v>
      </c>
      <c r="B69" s="21"/>
      <c r="C69" s="21">
        <v>333978</v>
      </c>
      <c r="D69" s="21"/>
      <c r="E69" s="21">
        <v>774025</v>
      </c>
      <c r="F69" s="21"/>
      <c r="G69" s="21">
        <v>818647</v>
      </c>
      <c r="H69" s="21">
        <v>936746</v>
      </c>
      <c r="I69" s="21">
        <v>227763</v>
      </c>
      <c r="J69" s="21">
        <v>127130</v>
      </c>
      <c r="K69" s="21">
        <v>18003</v>
      </c>
      <c r="L69" s="21">
        <v>853545</v>
      </c>
      <c r="M69" s="21"/>
      <c r="N69" s="21">
        <v>242261</v>
      </c>
      <c r="O69" s="53">
        <v>2335077</v>
      </c>
      <c r="P69" s="21"/>
      <c r="Q69" s="21">
        <v>919220</v>
      </c>
      <c r="R69" s="21">
        <v>19950</v>
      </c>
      <c r="S69" s="21">
        <v>324133</v>
      </c>
      <c r="T69" s="21">
        <v>571773</v>
      </c>
      <c r="U69" s="21">
        <v>81136</v>
      </c>
      <c r="V69" s="21">
        <v>6892215</v>
      </c>
      <c r="W69" s="21"/>
      <c r="X69" s="21"/>
      <c r="Y69" s="21"/>
      <c r="Z69" s="21">
        <v>1368119</v>
      </c>
      <c r="AA69" s="21"/>
      <c r="AB69" s="21">
        <v>849108</v>
      </c>
      <c r="AC69" s="21">
        <v>2231194</v>
      </c>
      <c r="AD69" s="21"/>
      <c r="AE69" s="21">
        <v>586158</v>
      </c>
      <c r="AF69" s="21">
        <v>4115195</v>
      </c>
      <c r="AG69" s="21"/>
      <c r="AH69" s="21">
        <v>1570583</v>
      </c>
    </row>
    <row r="70" spans="1:34" x14ac:dyDescent="0.25">
      <c r="A70" s="25" t="s">
        <v>94</v>
      </c>
      <c r="B70" s="21"/>
      <c r="C70" s="21">
        <v>400867</v>
      </c>
      <c r="D70" s="21"/>
      <c r="E70" s="21">
        <v>500220</v>
      </c>
      <c r="F70" s="21"/>
      <c r="G70" s="21">
        <v>4018350</v>
      </c>
      <c r="H70" s="21">
        <v>5113689</v>
      </c>
      <c r="I70" s="21">
        <v>349628</v>
      </c>
      <c r="J70" s="21">
        <v>99740</v>
      </c>
      <c r="K70" s="21"/>
      <c r="L70" s="21">
        <f>1387018+390817</f>
        <v>1777835</v>
      </c>
      <c r="M70" s="21"/>
      <c r="N70" s="21">
        <v>49957</v>
      </c>
      <c r="O70" s="53">
        <v>1487508</v>
      </c>
      <c r="P70" s="21"/>
      <c r="Q70" s="21">
        <v>2488141</v>
      </c>
      <c r="R70" s="21">
        <v>141172</v>
      </c>
      <c r="S70" s="21">
        <v>812064</v>
      </c>
      <c r="T70" s="21">
        <v>597349</v>
      </c>
      <c r="U70" s="21">
        <v>593883</v>
      </c>
      <c r="V70" s="21">
        <v>4786910</v>
      </c>
      <c r="W70" s="21"/>
      <c r="X70" s="21"/>
      <c r="Y70" s="21"/>
      <c r="Z70" s="21">
        <v>7927848</v>
      </c>
      <c r="AA70" s="21"/>
      <c r="AB70" s="21">
        <v>6051728</v>
      </c>
      <c r="AC70" s="21">
        <v>2957819</v>
      </c>
      <c r="AD70" s="21">
        <v>479607</v>
      </c>
      <c r="AE70" s="21">
        <v>235049</v>
      </c>
      <c r="AF70" s="21">
        <v>2952018</v>
      </c>
      <c r="AG70" s="21"/>
      <c r="AH70" s="21">
        <v>4278887</v>
      </c>
    </row>
    <row r="71" spans="1:34" x14ac:dyDescent="0.25">
      <c r="A71" s="25" t="s">
        <v>296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>
        <v>1974963</v>
      </c>
      <c r="R71" s="21"/>
      <c r="S71" s="21"/>
      <c r="T71" s="21"/>
      <c r="U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4" x14ac:dyDescent="0.25">
      <c r="A72" s="25" t="s">
        <v>373</v>
      </c>
      <c r="B72" s="21"/>
      <c r="C72" s="21"/>
      <c r="D72" s="21"/>
      <c r="E72" s="21">
        <v>549630</v>
      </c>
      <c r="F72" s="21"/>
      <c r="G72" s="21">
        <v>8612</v>
      </c>
      <c r="H72" s="21"/>
      <c r="I72" s="21">
        <v>49300</v>
      </c>
      <c r="J72" s="21">
        <v>49198</v>
      </c>
      <c r="K72" s="21"/>
      <c r="L72" s="21">
        <v>304701</v>
      </c>
      <c r="M72" s="21">
        <v>1538408</v>
      </c>
      <c r="N72" s="21"/>
      <c r="O72" s="53">
        <v>1413880</v>
      </c>
      <c r="P72" s="21"/>
      <c r="Q72" s="21">
        <v>760736</v>
      </c>
      <c r="R72" s="21"/>
      <c r="S72" s="21"/>
      <c r="T72" s="21">
        <v>273862</v>
      </c>
      <c r="U72" s="21">
        <v>552555</v>
      </c>
      <c r="V72" s="21">
        <v>937327</v>
      </c>
      <c r="W72" s="21"/>
      <c r="X72" s="21"/>
      <c r="Y72" s="21"/>
      <c r="Z72" s="21">
        <v>218820</v>
      </c>
      <c r="AA72" s="21"/>
      <c r="AB72" s="21">
        <v>653517</v>
      </c>
      <c r="AC72" s="21">
        <v>660799</v>
      </c>
      <c r="AD72" s="21"/>
      <c r="AE72" s="21"/>
      <c r="AF72" s="21">
        <v>657887</v>
      </c>
      <c r="AG72" s="21"/>
      <c r="AH72" s="21"/>
    </row>
    <row r="73" spans="1:34" x14ac:dyDescent="0.25">
      <c r="A73" s="25" t="s">
        <v>290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>
        <v>870339</v>
      </c>
      <c r="N73" s="21"/>
      <c r="O73" s="53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x14ac:dyDescent="0.25">
      <c r="A74" s="25" t="s">
        <v>374</v>
      </c>
      <c r="B74" s="21"/>
      <c r="C74" s="21">
        <v>59800</v>
      </c>
      <c r="D74" s="21"/>
      <c r="E74" s="21"/>
      <c r="F74" s="21"/>
      <c r="G74" s="21"/>
      <c r="H74" s="21"/>
      <c r="I74" s="21"/>
      <c r="J74" s="21">
        <v>100000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>
        <v>118301</v>
      </c>
      <c r="AC74" s="21"/>
      <c r="AD74" s="21"/>
      <c r="AE74" s="21"/>
      <c r="AF74" s="21"/>
      <c r="AG74" s="21"/>
      <c r="AH74" s="21"/>
    </row>
    <row r="75" spans="1:34" x14ac:dyDescent="0.25">
      <c r="A75" s="25" t="s">
        <v>95</v>
      </c>
      <c r="B75" s="21"/>
      <c r="C75" s="21"/>
      <c r="D75" s="21"/>
      <c r="E75" s="21">
        <v>110001</v>
      </c>
      <c r="F75" s="21"/>
      <c r="G75" s="21">
        <v>1032259</v>
      </c>
      <c r="H75" s="21">
        <v>356768</v>
      </c>
      <c r="I75" s="21">
        <v>49959</v>
      </c>
      <c r="J75" s="21"/>
      <c r="K75" s="21"/>
      <c r="L75" s="21">
        <v>718100</v>
      </c>
      <c r="M75" s="21">
        <v>187662</v>
      </c>
      <c r="N75" s="21">
        <v>100044</v>
      </c>
      <c r="O75" s="53">
        <v>4376443</v>
      </c>
      <c r="P75" s="21"/>
      <c r="Q75" s="21">
        <v>2009080</v>
      </c>
      <c r="R75" s="21">
        <v>163194</v>
      </c>
      <c r="S75" s="21">
        <v>203337</v>
      </c>
      <c r="T75" s="21">
        <v>252813</v>
      </c>
      <c r="U75" s="21">
        <v>99850</v>
      </c>
      <c r="V75" s="21">
        <v>2199713</v>
      </c>
      <c r="W75" s="21"/>
      <c r="X75" s="21"/>
      <c r="Y75" s="21"/>
      <c r="Z75" s="21">
        <v>1799038</v>
      </c>
      <c r="AA75" s="21"/>
      <c r="AB75" s="21">
        <v>1653729</v>
      </c>
      <c r="AC75" s="21">
        <v>3626248</v>
      </c>
      <c r="AD75" s="21">
        <v>33807584</v>
      </c>
      <c r="AE75" s="21">
        <v>157497</v>
      </c>
      <c r="AF75" s="21">
        <v>4591517</v>
      </c>
      <c r="AG75" s="21"/>
      <c r="AH75" s="21">
        <v>872701</v>
      </c>
    </row>
    <row r="76" spans="1:34" x14ac:dyDescent="0.25">
      <c r="A76" s="25" t="s">
        <v>191</v>
      </c>
      <c r="B76" s="21"/>
      <c r="C76" s="21"/>
      <c r="D76" s="21"/>
      <c r="E76" s="21"/>
      <c r="F76" s="21"/>
      <c r="G76" s="21">
        <v>514736</v>
      </c>
      <c r="H76" s="21">
        <v>323744</v>
      </c>
      <c r="I76" s="21"/>
      <c r="J76" s="21"/>
      <c r="K76" s="21"/>
      <c r="L76" s="21"/>
      <c r="M76" s="21"/>
      <c r="N76" s="21"/>
      <c r="O76" s="53">
        <v>418995</v>
      </c>
      <c r="P76" s="21"/>
      <c r="Q76" s="21">
        <v>229749</v>
      </c>
      <c r="R76" s="21"/>
      <c r="S76" s="21"/>
      <c r="T76" s="21"/>
      <c r="U76" s="21"/>
      <c r="V76" s="21"/>
      <c r="W76" s="21"/>
      <c r="X76" s="21"/>
      <c r="Y76" s="21"/>
      <c r="Z76" s="21">
        <v>368282</v>
      </c>
      <c r="AA76" s="21"/>
      <c r="AB76" s="21">
        <v>93774</v>
      </c>
      <c r="AC76" s="21"/>
      <c r="AD76" s="21"/>
      <c r="AE76" s="21"/>
      <c r="AF76" s="21"/>
      <c r="AG76" s="21"/>
      <c r="AH76" s="21">
        <v>126881</v>
      </c>
    </row>
    <row r="77" spans="1:34" s="15" customFormat="1" x14ac:dyDescent="0.25">
      <c r="A77" s="23" t="s">
        <v>193</v>
      </c>
      <c r="B77" s="24"/>
      <c r="C77" s="24">
        <f>SUM(C63:C76)</f>
        <v>794645</v>
      </c>
      <c r="D77" s="24"/>
      <c r="E77" s="24">
        <f>SUM(E63:E76)</f>
        <v>2101293</v>
      </c>
      <c r="F77" s="24"/>
      <c r="G77" s="24">
        <f>SUM(G63:G76)</f>
        <v>7363575</v>
      </c>
      <c r="H77" s="24">
        <v>6820186</v>
      </c>
      <c r="I77" s="24">
        <f>SUM(I63:I76)</f>
        <v>676650</v>
      </c>
      <c r="J77" s="24">
        <f>SUM(J63:J76)</f>
        <v>376068</v>
      </c>
      <c r="K77" s="24">
        <f>SUM(K63:K76)</f>
        <v>18003</v>
      </c>
      <c r="L77" s="24">
        <v>6014001</v>
      </c>
      <c r="M77" s="24">
        <v>3433384</v>
      </c>
      <c r="N77" s="24">
        <v>392262</v>
      </c>
      <c r="O77" s="24">
        <f>SUM(O63:O76)</f>
        <v>11407862</v>
      </c>
      <c r="P77" s="24"/>
      <c r="Q77" s="24">
        <f>SUM(Q63:Q76)</f>
        <v>14239560</v>
      </c>
      <c r="R77" s="24">
        <f>SUM(R63:R76)</f>
        <v>536810</v>
      </c>
      <c r="S77" s="24">
        <f>SUM(S63:S76)</f>
        <v>1839679</v>
      </c>
      <c r="T77" s="24">
        <v>1711797</v>
      </c>
      <c r="U77" s="24">
        <f>SUM(U63:U76)</f>
        <v>1626122</v>
      </c>
      <c r="V77" s="24"/>
      <c r="W77" s="24"/>
      <c r="X77" s="24"/>
      <c r="Y77" s="24"/>
      <c r="Z77" s="24">
        <f>SUM(Z63:Z76)</f>
        <v>14283181</v>
      </c>
      <c r="AA77" s="24"/>
      <c r="AB77" s="24">
        <f>SUM(AB63:AB76)</f>
        <v>11995077</v>
      </c>
      <c r="AC77" s="24">
        <f>SUM(AC63:AC76)</f>
        <v>9918702</v>
      </c>
      <c r="AD77" s="24">
        <f>SUM(AD63:AD76)</f>
        <v>36261054</v>
      </c>
      <c r="AE77" s="24">
        <f>SUM(AE63:AE76)</f>
        <v>978704</v>
      </c>
      <c r="AF77" s="24">
        <f>SUM(AF63:AF76)</f>
        <v>12692248</v>
      </c>
      <c r="AG77" s="24"/>
      <c r="AH77" s="24">
        <f>SUM(AH63:AH76)</f>
        <v>10644478</v>
      </c>
    </row>
    <row r="78" spans="1:34" s="15" customFormat="1" ht="15" customHeight="1" x14ac:dyDescent="0.25">
      <c r="A78" s="23" t="s">
        <v>61</v>
      </c>
      <c r="B78" s="24"/>
      <c r="C78" s="24">
        <v>2756119</v>
      </c>
      <c r="D78" s="24"/>
      <c r="E78" s="24">
        <v>11277015</v>
      </c>
      <c r="F78" s="24"/>
      <c r="G78" s="24">
        <v>34011524</v>
      </c>
      <c r="H78" s="24">
        <v>64352898</v>
      </c>
      <c r="I78" s="24">
        <v>3266641</v>
      </c>
      <c r="J78" s="24">
        <v>1530116</v>
      </c>
      <c r="K78" s="24">
        <v>167281</v>
      </c>
      <c r="L78" s="24">
        <v>61245275</v>
      </c>
      <c r="M78" s="24">
        <v>27939325</v>
      </c>
      <c r="N78" s="24">
        <v>5090608</v>
      </c>
      <c r="O78" s="55">
        <v>68293089</v>
      </c>
      <c r="P78" s="24"/>
      <c r="Q78" s="24">
        <v>65370681</v>
      </c>
      <c r="R78" s="24">
        <v>2787405</v>
      </c>
      <c r="S78" s="24">
        <v>11148954</v>
      </c>
      <c r="T78" s="24">
        <v>11512071</v>
      </c>
      <c r="U78" s="24">
        <v>4619325</v>
      </c>
      <c r="V78" s="24">
        <v>220777644.09806329</v>
      </c>
      <c r="W78" s="24"/>
      <c r="X78" s="24"/>
      <c r="Y78" s="24"/>
      <c r="Z78" s="24">
        <v>86121473</v>
      </c>
      <c r="AA78" s="24"/>
      <c r="AB78" s="24">
        <v>39621347</v>
      </c>
      <c r="AC78" s="24">
        <v>42614800</v>
      </c>
      <c r="AD78" s="24">
        <v>79384768.476999998</v>
      </c>
      <c r="AE78" s="24">
        <v>16176556</v>
      </c>
      <c r="AF78" s="24">
        <v>73587696</v>
      </c>
      <c r="AG78" s="24"/>
      <c r="AH78" s="24">
        <v>25309329</v>
      </c>
    </row>
    <row r="79" spans="1:34" s="15" customFormat="1" x14ac:dyDescent="0.25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</row>
    <row r="80" spans="1:34" x14ac:dyDescent="0.25">
      <c r="A80" s="66" t="s">
        <v>61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s="15" customFormat="1" x14ac:dyDescent="0.25">
      <c r="A81" s="23" t="s">
        <v>0</v>
      </c>
      <c r="B81" s="24" t="s">
        <v>1</v>
      </c>
      <c r="C81" s="24" t="s">
        <v>2</v>
      </c>
      <c r="D81" s="24" t="s">
        <v>3</v>
      </c>
      <c r="E81" s="24" t="s">
        <v>4</v>
      </c>
      <c r="F81" s="24" t="s">
        <v>5</v>
      </c>
      <c r="G81" s="24" t="s">
        <v>6</v>
      </c>
      <c r="H81" s="24" t="s">
        <v>7</v>
      </c>
      <c r="I81" s="24" t="s">
        <v>8</v>
      </c>
      <c r="J81" s="24" t="s">
        <v>9</v>
      </c>
      <c r="K81" s="24" t="s">
        <v>10</v>
      </c>
      <c r="L81" s="24" t="s">
        <v>11</v>
      </c>
      <c r="M81" s="24" t="s">
        <v>12</v>
      </c>
      <c r="N81" s="24" t="s">
        <v>13</v>
      </c>
      <c r="O81" s="24" t="s">
        <v>14</v>
      </c>
      <c r="P81" s="24" t="s">
        <v>15</v>
      </c>
      <c r="Q81" s="24" t="s">
        <v>16</v>
      </c>
      <c r="R81" s="24" t="s">
        <v>17</v>
      </c>
      <c r="S81" s="24" t="s">
        <v>18</v>
      </c>
      <c r="T81" s="24" t="s">
        <v>19</v>
      </c>
      <c r="U81" s="24" t="s">
        <v>20</v>
      </c>
      <c r="V81" s="24" t="s">
        <v>21</v>
      </c>
      <c r="W81" s="24" t="s">
        <v>161</v>
      </c>
      <c r="X81" s="24" t="s">
        <v>162</v>
      </c>
      <c r="Y81" s="24" t="s">
        <v>22</v>
      </c>
      <c r="Z81" s="24" t="s">
        <v>23</v>
      </c>
      <c r="AA81" s="24" t="s">
        <v>24</v>
      </c>
      <c r="AB81" s="24" t="s">
        <v>25</v>
      </c>
      <c r="AC81" s="24" t="s">
        <v>26</v>
      </c>
      <c r="AD81" s="24" t="s">
        <v>27</v>
      </c>
      <c r="AE81" s="24" t="s">
        <v>28</v>
      </c>
      <c r="AF81" s="24" t="s">
        <v>29</v>
      </c>
      <c r="AG81" s="24" t="s">
        <v>30</v>
      </c>
      <c r="AH81" s="24" t="s">
        <v>31</v>
      </c>
    </row>
    <row r="82" spans="1:34" s="15" customFormat="1" x14ac:dyDescent="0.25">
      <c r="A82" s="23" t="s">
        <v>86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</row>
    <row r="83" spans="1:34" ht="30" x14ac:dyDescent="0.25">
      <c r="A83" s="25" t="s">
        <v>87</v>
      </c>
      <c r="B83" s="21">
        <v>547748</v>
      </c>
      <c r="C83" s="21"/>
      <c r="D83" s="21">
        <v>13502488</v>
      </c>
      <c r="E83" s="21"/>
      <c r="F83" s="21">
        <v>55666025</v>
      </c>
      <c r="G83" s="21"/>
      <c r="H83" s="21"/>
      <c r="I83" s="21"/>
      <c r="J83" s="21"/>
      <c r="K83" s="21"/>
      <c r="L83" s="21"/>
      <c r="M83" s="21"/>
      <c r="N83" s="21"/>
      <c r="O83" s="21"/>
      <c r="P83" s="21">
        <v>63090468</v>
      </c>
      <c r="Q83" s="21"/>
      <c r="R83" s="21"/>
      <c r="S83" s="21"/>
      <c r="T83" s="21">
        <v>3959440</v>
      </c>
      <c r="U83" s="21"/>
      <c r="V83" s="21"/>
      <c r="W83" s="21">
        <v>198430146</v>
      </c>
      <c r="X83" s="21">
        <v>74884494</v>
      </c>
      <c r="Y83" s="21">
        <v>1270984</v>
      </c>
      <c r="Z83" s="21"/>
      <c r="AA83" s="21">
        <v>2967235</v>
      </c>
      <c r="AB83" s="21"/>
      <c r="AC83" s="21"/>
      <c r="AD83" s="21"/>
      <c r="AE83" s="21"/>
      <c r="AF83" s="21"/>
      <c r="AG83" s="21">
        <v>104889455</v>
      </c>
      <c r="AH83" s="21"/>
    </row>
    <row r="84" spans="1:34" x14ac:dyDescent="0.25">
      <c r="A84" s="25" t="s">
        <v>88</v>
      </c>
      <c r="B84" s="21"/>
      <c r="C84" s="21"/>
      <c r="D84" s="21">
        <v>8884584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>
        <v>667582</v>
      </c>
      <c r="U84" s="21"/>
      <c r="V84" s="21"/>
      <c r="W84" s="21"/>
      <c r="X84" s="21">
        <v>642950</v>
      </c>
      <c r="Y84" s="21"/>
      <c r="Z84" s="21"/>
      <c r="AA84" s="21">
        <v>1233700</v>
      </c>
      <c r="AB84" s="21"/>
      <c r="AC84" s="21"/>
      <c r="AD84" s="21"/>
      <c r="AE84" s="21"/>
      <c r="AF84" s="21"/>
      <c r="AG84" s="21"/>
      <c r="AH84" s="21"/>
    </row>
    <row r="85" spans="1:34" x14ac:dyDescent="0.25">
      <c r="A85" s="25" t="s">
        <v>89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x14ac:dyDescent="0.25">
      <c r="A86" s="25" t="s">
        <v>90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x14ac:dyDescent="0.25">
      <c r="A87" s="25" t="s">
        <v>91</v>
      </c>
      <c r="B87" s="21"/>
      <c r="C87" s="21"/>
      <c r="D87" s="21">
        <v>2616755</v>
      </c>
      <c r="E87" s="21"/>
      <c r="F87" s="21">
        <v>12661914</v>
      </c>
      <c r="G87" s="21"/>
      <c r="H87" s="21"/>
      <c r="I87" s="21"/>
      <c r="J87" s="21"/>
      <c r="K87" s="21"/>
      <c r="L87" s="21"/>
      <c r="M87" s="21"/>
      <c r="N87" s="21"/>
      <c r="O87" s="21"/>
      <c r="P87" s="21">
        <v>19603320</v>
      </c>
      <c r="Q87" s="21"/>
      <c r="R87" s="21"/>
      <c r="S87" s="21"/>
      <c r="T87" s="21"/>
      <c r="U87" s="21"/>
      <c r="V87" s="21"/>
      <c r="W87" s="21">
        <v>261266440</v>
      </c>
      <c r="X87" s="21">
        <v>96738586</v>
      </c>
      <c r="Y87" s="21"/>
      <c r="Z87" s="21"/>
      <c r="AA87" s="21">
        <v>20022</v>
      </c>
      <c r="AB87" s="21"/>
      <c r="AC87" s="21"/>
      <c r="AD87" s="21"/>
      <c r="AE87" s="21"/>
      <c r="AF87" s="21"/>
      <c r="AG87" s="21">
        <v>84801194</v>
      </c>
      <c r="AH87" s="21"/>
    </row>
    <row r="88" spans="1:34" x14ac:dyDescent="0.25">
      <c r="A88" s="25" t="s">
        <v>92</v>
      </c>
      <c r="B88" s="21"/>
      <c r="C88" s="21"/>
      <c r="D88" s="21"/>
      <c r="E88" s="21"/>
      <c r="F88" s="21">
        <v>732500</v>
      </c>
      <c r="G88" s="21"/>
      <c r="H88" s="21"/>
      <c r="I88" s="21"/>
      <c r="J88" s="21"/>
      <c r="K88" s="21"/>
      <c r="L88" s="21"/>
      <c r="M88" s="21"/>
      <c r="N88" s="21"/>
      <c r="O88" s="21"/>
      <c r="P88" s="21">
        <v>380868</v>
      </c>
      <c r="Q88" s="21"/>
      <c r="R88" s="21"/>
      <c r="S88" s="21"/>
      <c r="T88" s="21">
        <v>57086</v>
      </c>
      <c r="U88" s="21"/>
      <c r="V88" s="21"/>
      <c r="W88" s="21">
        <v>1217</v>
      </c>
      <c r="X88" s="21">
        <v>28423</v>
      </c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x14ac:dyDescent="0.25">
      <c r="A89" s="25" t="s">
        <v>93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>
        <v>860758</v>
      </c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x14ac:dyDescent="0.25">
      <c r="A90" s="25" t="s">
        <v>94</v>
      </c>
      <c r="B90" s="45">
        <v>100851</v>
      </c>
      <c r="C90" s="21"/>
      <c r="D90" s="21">
        <v>9535112</v>
      </c>
      <c r="E90" s="21"/>
      <c r="F90" s="21">
        <v>18235635</v>
      </c>
      <c r="G90" s="21"/>
      <c r="H90" s="21"/>
      <c r="I90" s="21"/>
      <c r="J90" s="21"/>
      <c r="K90" s="21"/>
      <c r="L90" s="21"/>
      <c r="M90" s="21"/>
      <c r="N90" s="21"/>
      <c r="O90" s="21"/>
      <c r="P90" s="21">
        <v>45694955</v>
      </c>
      <c r="Q90" s="21"/>
      <c r="R90" s="21"/>
      <c r="S90" s="21"/>
      <c r="T90" s="21">
        <v>4732174</v>
      </c>
      <c r="U90" s="21"/>
      <c r="V90" s="21"/>
      <c r="W90" s="21">
        <v>25725274</v>
      </c>
      <c r="X90" s="21">
        <v>12408103</v>
      </c>
      <c r="Y90" s="21">
        <v>758150</v>
      </c>
      <c r="Z90" s="21"/>
      <c r="AA90" s="21">
        <v>2329183</v>
      </c>
      <c r="AB90" s="21"/>
      <c r="AC90" s="21"/>
      <c r="AD90" s="21"/>
      <c r="AE90" s="21"/>
      <c r="AF90" s="21"/>
      <c r="AG90" s="21">
        <v>23221844</v>
      </c>
      <c r="AH90" s="21"/>
    </row>
    <row r="91" spans="1:34" x14ac:dyDescent="0.25">
      <c r="A91" s="25" t="s">
        <v>299</v>
      </c>
      <c r="B91" s="45">
        <v>347476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x14ac:dyDescent="0.25">
      <c r="A92" s="25" t="s">
        <v>297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>
        <v>5124583</v>
      </c>
      <c r="Q92" s="21"/>
      <c r="R92" s="21"/>
      <c r="S92" s="21"/>
      <c r="T92" s="21">
        <v>200000</v>
      </c>
      <c r="U92" s="21"/>
      <c r="V92" s="21"/>
      <c r="W92" s="21"/>
      <c r="X92" s="21">
        <v>482695</v>
      </c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x14ac:dyDescent="0.25">
      <c r="A93" s="25" t="s">
        <v>290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>
        <v>447252</v>
      </c>
      <c r="X93" s="21">
        <v>500</v>
      </c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x14ac:dyDescent="0.25">
      <c r="A94" s="25" t="s">
        <v>291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>
        <v>1388142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x14ac:dyDescent="0.25">
      <c r="A95" s="25" t="s">
        <v>95</v>
      </c>
      <c r="B95" s="21">
        <v>151398</v>
      </c>
      <c r="C95" s="21"/>
      <c r="D95" s="21">
        <v>6360099</v>
      </c>
      <c r="E95" s="21"/>
      <c r="F95" s="21">
        <v>39828721</v>
      </c>
      <c r="G95" s="21"/>
      <c r="H95" s="21"/>
      <c r="I95" s="21"/>
      <c r="J95" s="21"/>
      <c r="K95" s="21"/>
      <c r="L95" s="21"/>
      <c r="M95" s="21"/>
      <c r="N95" s="21"/>
      <c r="O95" s="21"/>
      <c r="P95" s="21">
        <v>54608544</v>
      </c>
      <c r="Q95" s="21"/>
      <c r="R95" s="21"/>
      <c r="S95" s="21"/>
      <c r="T95" s="21">
        <v>2039051</v>
      </c>
      <c r="U95" s="21"/>
      <c r="V95" s="21"/>
      <c r="W95" s="21">
        <v>47663315</v>
      </c>
      <c r="X95" s="21">
        <v>35569750</v>
      </c>
      <c r="Y95" s="21">
        <v>864209</v>
      </c>
      <c r="Z95" s="21"/>
      <c r="AA95" s="21">
        <v>4497929</v>
      </c>
      <c r="AB95" s="21"/>
      <c r="AC95" s="21"/>
      <c r="AD95" s="21"/>
      <c r="AE95" s="21"/>
      <c r="AF95" s="21"/>
      <c r="AG95" s="21">
        <v>53955853</v>
      </c>
      <c r="AH95" s="21"/>
    </row>
    <row r="96" spans="1:34" x14ac:dyDescent="0.25">
      <c r="A96" s="25" t="s">
        <v>191</v>
      </c>
      <c r="B96" s="21"/>
      <c r="C96" s="21"/>
      <c r="D96" s="21">
        <v>100000</v>
      </c>
      <c r="E96" s="21"/>
      <c r="F96" s="21">
        <v>208337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>
        <v>29304907</v>
      </c>
      <c r="X96" s="21"/>
      <c r="Y96" s="21">
        <v>199949</v>
      </c>
      <c r="Z96" s="21"/>
      <c r="AA96" s="21">
        <v>50000</v>
      </c>
      <c r="AB96" s="21"/>
      <c r="AC96" s="21"/>
      <c r="AD96" s="21"/>
      <c r="AE96" s="21"/>
      <c r="AF96" s="21"/>
      <c r="AG96" s="21">
        <v>17649783</v>
      </c>
      <c r="AH96" s="21"/>
    </row>
    <row r="97" spans="1:34" s="15" customFormat="1" x14ac:dyDescent="0.25">
      <c r="A97" s="23" t="s">
        <v>192</v>
      </c>
      <c r="B97" s="24">
        <f>SUM(B83:B96)</f>
        <v>1147473</v>
      </c>
      <c r="C97" s="24"/>
      <c r="D97" s="24">
        <f>SUM(D83:D96)</f>
        <v>40999038</v>
      </c>
      <c r="E97" s="24"/>
      <c r="F97" s="24">
        <f>SUM(F83:F96)</f>
        <v>127333132</v>
      </c>
      <c r="G97" s="24"/>
      <c r="H97" s="24"/>
      <c r="I97" s="24"/>
      <c r="J97" s="24"/>
      <c r="K97" s="24"/>
      <c r="L97" s="24"/>
      <c r="M97" s="24"/>
      <c r="N97" s="24"/>
      <c r="O97" s="24"/>
      <c r="P97" s="24">
        <f>SUM(P83:P96)</f>
        <v>189890880</v>
      </c>
      <c r="Q97" s="24"/>
      <c r="R97" s="24"/>
      <c r="S97" s="24"/>
      <c r="T97" s="24">
        <v>11655333</v>
      </c>
      <c r="U97" s="24"/>
      <c r="V97" s="24"/>
      <c r="W97" s="24">
        <v>563699309</v>
      </c>
      <c r="X97" s="24"/>
      <c r="Y97" s="24">
        <f>SUM(Y83:Y96)</f>
        <v>3093292</v>
      </c>
      <c r="Z97" s="24"/>
      <c r="AA97" s="24">
        <f>SUM(AA83:AA96)</f>
        <v>11098069</v>
      </c>
      <c r="AB97" s="24"/>
      <c r="AC97" s="24"/>
      <c r="AD97" s="24"/>
      <c r="AE97" s="24"/>
      <c r="AF97" s="24"/>
      <c r="AG97" s="24">
        <v>284518129</v>
      </c>
      <c r="AH97" s="24"/>
    </row>
    <row r="98" spans="1:34" s="15" customForma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 s="15" customFormat="1" x14ac:dyDescent="0.25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 ht="30" x14ac:dyDescent="0.25">
      <c r="A100" s="25" t="s">
        <v>87</v>
      </c>
      <c r="B100" s="21">
        <v>97195</v>
      </c>
      <c r="C100" s="21"/>
      <c r="D100" s="21">
        <v>4955155</v>
      </c>
      <c r="E100" s="21"/>
      <c r="F100" s="21">
        <v>7184000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>
        <v>3010923</v>
      </c>
      <c r="X100" s="21"/>
      <c r="Y100" s="21">
        <v>98721</v>
      </c>
      <c r="Z100" s="21"/>
      <c r="AA100" s="21">
        <v>197916</v>
      </c>
      <c r="AB100" s="21"/>
      <c r="AC100" s="21"/>
      <c r="AD100" s="21"/>
      <c r="AE100" s="21"/>
      <c r="AF100" s="21"/>
      <c r="AG100" s="21">
        <v>2441325</v>
      </c>
      <c r="AH100" s="21"/>
    </row>
    <row r="101" spans="1:34" x14ac:dyDescent="0.25">
      <c r="A101" s="25" t="s">
        <v>88</v>
      </c>
      <c r="B101" s="21"/>
      <c r="C101" s="21"/>
      <c r="D101" s="21">
        <v>450145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>
        <v>2505813</v>
      </c>
      <c r="Q101" s="21"/>
      <c r="R101" s="21"/>
      <c r="S101" s="21"/>
      <c r="T101" s="21"/>
      <c r="U101" s="21"/>
      <c r="V101" s="21"/>
      <c r="W101" s="21"/>
      <c r="X101" s="21">
        <v>1597396</v>
      </c>
      <c r="Y101" s="21"/>
      <c r="Z101" s="21"/>
      <c r="AA101" s="21">
        <v>16993</v>
      </c>
      <c r="AB101" s="21"/>
      <c r="AC101" s="21"/>
      <c r="AD101" s="21"/>
      <c r="AE101" s="21"/>
      <c r="AF101" s="21"/>
      <c r="AG101" s="21"/>
      <c r="AH101" s="21"/>
    </row>
    <row r="102" spans="1:34" x14ac:dyDescent="0.25">
      <c r="A102" s="25" t="s">
        <v>89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1:34" x14ac:dyDescent="0.25">
      <c r="A103" s="25" t="s">
        <v>90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1:34" x14ac:dyDescent="0.25">
      <c r="A104" s="25" t="s">
        <v>91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spans="1:34" x14ac:dyDescent="0.25">
      <c r="A105" s="25" t="s">
        <v>92</v>
      </c>
      <c r="B105" s="21"/>
      <c r="C105" s="21"/>
      <c r="D105" s="21"/>
      <c r="E105" s="21"/>
      <c r="F105" s="21">
        <v>350000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>
        <v>19029</v>
      </c>
      <c r="U105" s="21"/>
      <c r="V105" s="21"/>
      <c r="W105" s="21"/>
      <c r="X105" s="21">
        <v>1741</v>
      </c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  <row r="106" spans="1:34" x14ac:dyDescent="0.25">
      <c r="A106" s="25" t="s">
        <v>93</v>
      </c>
      <c r="B106" s="21">
        <v>133088</v>
      </c>
      <c r="C106" s="21"/>
      <c r="D106" s="21">
        <v>10443232</v>
      </c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>
        <v>7867290</v>
      </c>
      <c r="Q106" s="21"/>
      <c r="R106" s="21"/>
      <c r="S106" s="21"/>
      <c r="T106" s="21">
        <v>680002</v>
      </c>
      <c r="U106" s="21"/>
      <c r="V106" s="21"/>
      <c r="W106" s="21"/>
      <c r="X106" s="21">
        <v>11878706</v>
      </c>
      <c r="Y106" s="21">
        <v>146113</v>
      </c>
      <c r="Z106" s="21"/>
      <c r="AA106" s="21">
        <v>947000</v>
      </c>
      <c r="AB106" s="21"/>
      <c r="AC106" s="21"/>
      <c r="AD106" s="21"/>
      <c r="AE106" s="21"/>
      <c r="AF106" s="21"/>
      <c r="AG106" s="21">
        <v>12520541</v>
      </c>
      <c r="AH106" s="21"/>
    </row>
    <row r="107" spans="1:34" x14ac:dyDescent="0.25">
      <c r="A107" s="25" t="s">
        <v>94</v>
      </c>
      <c r="B107" s="21">
        <v>100125</v>
      </c>
      <c r="C107" s="21"/>
      <c r="D107" s="21">
        <v>3646746</v>
      </c>
      <c r="E107" s="21"/>
      <c r="F107" s="21">
        <v>11577249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>
        <v>1800198</v>
      </c>
      <c r="Q107" s="21"/>
      <c r="R107" s="21"/>
      <c r="S107" s="21"/>
      <c r="T107" s="21">
        <v>710419</v>
      </c>
      <c r="U107" s="21"/>
      <c r="V107" s="21"/>
      <c r="W107" s="21">
        <v>4678894</v>
      </c>
      <c r="X107" s="21">
        <v>3734002</v>
      </c>
      <c r="Y107" s="21">
        <v>450238</v>
      </c>
      <c r="Z107" s="21"/>
      <c r="AA107" s="21">
        <v>826228</v>
      </c>
      <c r="AB107" s="21"/>
      <c r="AC107" s="21"/>
      <c r="AD107" s="21"/>
      <c r="AE107" s="21"/>
      <c r="AF107" s="21"/>
      <c r="AG107" s="21">
        <v>2786245</v>
      </c>
      <c r="AH107" s="21"/>
    </row>
    <row r="108" spans="1:34" x14ac:dyDescent="0.25">
      <c r="A108" s="25" t="s">
        <v>300</v>
      </c>
      <c r="B108" s="21">
        <v>49769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>
        <v>325700</v>
      </c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</row>
    <row r="109" spans="1:34" x14ac:dyDescent="0.25">
      <c r="A109" s="25" t="s">
        <v>301</v>
      </c>
      <c r="B109" s="21">
        <v>25000</v>
      </c>
      <c r="C109" s="21"/>
      <c r="D109" s="21">
        <v>12674800</v>
      </c>
      <c r="E109" s="21"/>
      <c r="F109" s="21">
        <v>200000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>
        <v>150000</v>
      </c>
      <c r="Q109" s="21"/>
      <c r="R109" s="21"/>
      <c r="S109" s="21"/>
      <c r="T109" s="21"/>
      <c r="U109" s="21"/>
      <c r="V109" s="21"/>
      <c r="W109" s="21"/>
      <c r="X109" s="21"/>
      <c r="Y109" s="21">
        <v>45390</v>
      </c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1:34" x14ac:dyDescent="0.25">
      <c r="A110" s="25" t="s">
        <v>298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>
        <v>310200</v>
      </c>
      <c r="AB110" s="21"/>
      <c r="AC110" s="21"/>
      <c r="AD110" s="21"/>
      <c r="AE110" s="21"/>
      <c r="AF110" s="21"/>
      <c r="AG110" s="21"/>
      <c r="AH110" s="21"/>
    </row>
    <row r="111" spans="1:34" x14ac:dyDescent="0.25">
      <c r="A111" s="25" t="s">
        <v>291</v>
      </c>
      <c r="B111" s="21">
        <v>250393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>
        <v>300667</v>
      </c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1:34" x14ac:dyDescent="0.25">
      <c r="A112" s="25" t="s">
        <v>95</v>
      </c>
      <c r="B112" s="21"/>
      <c r="C112" s="21"/>
      <c r="D112" s="21">
        <v>2063722</v>
      </c>
      <c r="E112" s="21"/>
      <c r="F112" s="21">
        <v>12839696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>
        <v>2240346</v>
      </c>
      <c r="Q112" s="21"/>
      <c r="R112" s="21"/>
      <c r="S112" s="21"/>
      <c r="T112" s="21"/>
      <c r="U112" s="21"/>
      <c r="V112" s="21"/>
      <c r="W112" s="21">
        <v>9431293</v>
      </c>
      <c r="X112" s="21">
        <v>4389156</v>
      </c>
      <c r="Y112" s="21">
        <v>149340</v>
      </c>
      <c r="Z112" s="21"/>
      <c r="AA112" s="21">
        <v>698580</v>
      </c>
      <c r="AB112" s="21"/>
      <c r="AC112" s="21"/>
      <c r="AD112" s="21"/>
      <c r="AE112" s="21"/>
      <c r="AF112" s="21"/>
      <c r="AG112" s="21">
        <v>4688177</v>
      </c>
      <c r="AH112" s="21"/>
    </row>
    <row r="113" spans="1:34" x14ac:dyDescent="0.25">
      <c r="A113" s="25" t="s">
        <v>191</v>
      </c>
      <c r="B113" s="21"/>
      <c r="C113" s="21"/>
      <c r="D113" s="21">
        <v>50000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>
        <v>2035817</v>
      </c>
      <c r="U113" s="21"/>
      <c r="V113" s="21"/>
      <c r="W113" s="21">
        <v>255459</v>
      </c>
      <c r="X113" s="21"/>
      <c r="Y113" s="21"/>
      <c r="Z113" s="21"/>
      <c r="AA113" s="21"/>
      <c r="AB113" s="21"/>
      <c r="AC113" s="21"/>
      <c r="AD113" s="21"/>
      <c r="AE113" s="21"/>
      <c r="AF113" s="21"/>
      <c r="AG113" s="21">
        <v>1860992</v>
      </c>
      <c r="AH113" s="21"/>
    </row>
    <row r="114" spans="1:34" s="15" customFormat="1" x14ac:dyDescent="0.25">
      <c r="A114" s="23" t="s">
        <v>193</v>
      </c>
      <c r="B114" s="24">
        <f>SUM(B100:B113)</f>
        <v>655570</v>
      </c>
      <c r="C114" s="24"/>
      <c r="D114" s="24">
        <v>34283800</v>
      </c>
      <c r="E114" s="24"/>
      <c r="F114" s="24">
        <f>SUM(F100:F113)</f>
        <v>32150945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>
        <f>SUM(P100:P113)</f>
        <v>14563647</v>
      </c>
      <c r="Q114" s="24"/>
      <c r="R114" s="24"/>
      <c r="S114" s="24"/>
      <c r="T114" s="24">
        <v>13691150</v>
      </c>
      <c r="U114" s="24"/>
      <c r="V114" s="24"/>
      <c r="W114" s="24">
        <v>17376569</v>
      </c>
      <c r="X114" s="24"/>
      <c r="Y114" s="24">
        <f>SUM(Y100:Y113)</f>
        <v>889802</v>
      </c>
      <c r="Z114" s="24"/>
      <c r="AA114" s="24">
        <f>SUM(AA100:AA113)</f>
        <v>2996917</v>
      </c>
      <c r="AB114" s="24"/>
      <c r="AC114" s="24"/>
      <c r="AD114" s="24"/>
      <c r="AE114" s="24"/>
      <c r="AF114" s="24"/>
      <c r="AG114" s="24">
        <v>24297280</v>
      </c>
      <c r="AH114" s="24"/>
    </row>
    <row r="115" spans="1:34" s="15" customFormat="1" x14ac:dyDescent="0.25">
      <c r="A115" s="23" t="s">
        <v>61</v>
      </c>
      <c r="B115" s="24">
        <v>1803043</v>
      </c>
      <c r="C115" s="24"/>
      <c r="D115" s="24">
        <v>75282838</v>
      </c>
      <c r="E115" s="24"/>
      <c r="F115" s="24">
        <v>159484077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>
        <v>204454527</v>
      </c>
      <c r="Q115" s="24"/>
      <c r="R115" s="24"/>
      <c r="S115" s="24"/>
      <c r="T115" s="24">
        <f>T97+T114</f>
        <v>25346483</v>
      </c>
      <c r="U115" s="24"/>
      <c r="V115" s="24"/>
      <c r="W115" s="24">
        <v>581075878</v>
      </c>
      <c r="X115" s="24">
        <v>242356502</v>
      </c>
      <c r="Y115" s="24">
        <v>3983093</v>
      </c>
      <c r="Z115" s="24"/>
      <c r="AA115" s="24">
        <v>14094984</v>
      </c>
      <c r="AB115" s="24"/>
      <c r="AC115" s="24"/>
      <c r="AD115" s="24"/>
      <c r="AE115" s="24"/>
      <c r="AF115" s="24"/>
      <c r="AG115" s="24">
        <v>308815409</v>
      </c>
      <c r="AH115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NL16</vt:lpstr>
      <vt:lpstr>NL17</vt:lpstr>
      <vt:lpstr>NL23</vt:lpstr>
      <vt:lpstr>NL25</vt:lpstr>
      <vt:lpstr>NL30</vt:lpstr>
      <vt:lpstr>NL33</vt:lpstr>
      <vt:lpstr>NL40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2019-04-10T06:44:48Z</dcterms:modified>
</cp:coreProperties>
</file>